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private/tmp/carrasco-noviembre.LO3kay/"/>
    </mc:Choice>
  </mc:AlternateContent>
  <xr:revisionPtr revIDLastSave="0" documentId="13_ncr:1_{7C063908-B4CD-014F-B190-8B662D1F6BB7}" xr6:coauthVersionLast="47" xr6:coauthVersionMax="47" xr10:uidLastSave="{00000000-0000-0000-0000-000000000000}"/>
  <bookViews>
    <workbookView xWindow="0" yWindow="620" windowWidth="41120" windowHeight="24220" activeTab="0" xr2:uid="{00000000-000D-0000-FFFF-FFFF00000000}"/>
  </bookViews>
  <sheets>
    <sheet name="Turno" sheetId="1" r:id="rId1"/>
    <sheet name="Encargado" sheetId="2" r:id="rId2"/>
    <sheet name="Por semana" sheetId="5" r:id="rId3"/>
    <sheet name="criterio" sheetId="3" state="hidden" r:id="rId4"/>
    <sheet name="Histórico" sheetId="4" state="hidden" r:id="rId5"/>
    <sheet name="Retiros" sheetId="6" r:id="rId6"/>
  </sheets>
  <definedNames>
    <definedName name="FechasRetiroPunta">Retiros!$G$8:INDEX(Retiros!$G$8:$G$127,MAX(1,Retiros!$F$6))</definedName>
    <definedName name="_xlnm.Print_Area" localSheetId="2">'Por semana'!$A$1:$J$20,'Por semana'!$A$23:$J$41</definedName>
    <definedName name="_xlnm.Print_Area" localSheetId="5">Retiros!$A$1:$D$22</definedName>
    <definedName name="_xlnm.Print_Area" localSheetId="0">Turno!$A$1:INDEX(Turno!$E$8:$E$127,MAX(1,COUNTIF(Encargado!$B$9:$B$128,Turno!$B$3)))</definedName>
    <definedName name="_xlnm.Print_Titles" localSheetId="0">Turno!$1:$7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<sst xmlns="http://schemas.openxmlformats.org/spreadsheetml/2006/main" count="1057" uniqueCount="243">
  <si>
    <t>Carrasco   /   Lista del turno</t>
  </si>
  <si>
    <t>Elegí la fecha de elaboración en amarillo. Al terminar, avisá cuánto hiciste para cada retiro.
Si juntás dos tandas del mismo producto, confirmá los retiros con el encargado y rotulá los envases por separado.</t>
  </si>
  <si>
    <t>Día de elaboración</t>
  </si>
  <si>
    <t>Qué hacer</t>
  </si>
  <si>
    <t>Producto y días de uso</t>
  </si>
  <si>
    <t>Cantidad</t>
  </si>
  <si>
    <t>Retiro</t>
  </si>
  <si>
    <t>Guardar y rotular</t>
  </si>
  <si>
    <t>«Previsto» parte de los pedidos por quincena del verano pasado. «Retiro» es orientativo hasta que Punta y Carrasco confirmen la fecha.
Buscá la fila por producto y retiro. Actualizá «Retiro» con el día acordado y cargá «Pedido real» y «Stock reservado» (0 si no hay).</t>
  </si>
  <si>
    <t>Kg / jornada PDE</t>
  </si>
  <si>
    <t>Sin pedido de Punta: dejá «Pedido real» vacío. Elegí «Adelanto» en «¿Mandar a preparar?» y, en la celda de al lado, anotá la cantidad. Con pedido confirmado, usá «Sí».</t>
  </si>
  <si>
    <t>L / jornada PDE</t>
  </si>
  <si>
    <t>Amarillo = completar. En «Hecho», anotá el total elaborado en esa fila. En «Stock reservado», cargá solo otros lotes y su vencimiento. Los botones + muestran más detalle.</t>
  </si>
  <si>
    <t>Apertura 30/11</t>
  </si>
  <si>
    <t>Pendiente</t>
  </si>
  <si>
    <t>Si hay varias tandas para un pedido, repartí el total entre ellas. Usá una fila libre solo para un producto y días de uso que no estén previstos.</t>
  </si>
  <si>
    <t>Antes de marcar «Sí», revisá insumos, fechas y tiempo disponible. Si dice «Acordar envases», acordá la cantidad con Punta.</t>
  </si>
  <si>
    <t>Apertura del 30/11: reservá stock vigente o planificá un retiro previo. En los ajustes, marcá «Cubierta» cuando esté resuelto.</t>
  </si>
  <si>
    <t>Producto</t>
  </si>
  <si>
    <t>Elaborar</t>
  </si>
  <si>
    <t>Usar desde</t>
  </si>
  <si>
    <t>Usar hasta</t>
  </si>
  <si>
    <t>Unidad</t>
  </si>
  <si>
    <t>Previsto</t>
  </si>
  <si>
    <t>Pedido real</t>
  </si>
  <si>
    <t>Stock reservado</t>
  </si>
  <si>
    <t>Falta hacer</t>
  </si>
  <si>
    <t>Vence stock</t>
  </si>
  <si>
    <t>¿Mandar a preparar?</t>
  </si>
  <si>
    <t>Cant. a adelantar</t>
  </si>
  <si>
    <t>Hecho</t>
  </si>
  <si>
    <t>Situación</t>
  </si>
  <si>
    <t>Antes del 21/12</t>
  </si>
  <si>
    <t>Vence cerrado</t>
  </si>
  <si>
    <t>Manteca Batayaki</t>
  </si>
  <si>
    <t>T001</t>
  </si>
  <si>
    <t>T002</t>
  </si>
  <si>
    <t>Manteca Hisosu</t>
  </si>
  <si>
    <t>T003</t>
  </si>
  <si>
    <t>T004</t>
  </si>
  <si>
    <t>Tsue</t>
  </si>
  <si>
    <t>T005</t>
  </si>
  <si>
    <t>Furilot</t>
  </si>
  <si>
    <t>T006</t>
  </si>
  <si>
    <t>T007</t>
  </si>
  <si>
    <t>T008</t>
  </si>
  <si>
    <t>Pachikay</t>
  </si>
  <si>
    <t>T009</t>
  </si>
  <si>
    <t>T010</t>
  </si>
  <si>
    <t>Salsa Teriyaki</t>
  </si>
  <si>
    <t>T011</t>
  </si>
  <si>
    <t>Salsa Nori</t>
  </si>
  <si>
    <t>T012</t>
  </si>
  <si>
    <t>Umami</t>
  </si>
  <si>
    <t>T013</t>
  </si>
  <si>
    <t>Furikake</t>
  </si>
  <si>
    <t>T014</t>
  </si>
  <si>
    <t>T015</t>
  </si>
  <si>
    <t>T016</t>
  </si>
  <si>
    <t>Mayo Spicy</t>
  </si>
  <si>
    <t>T017</t>
  </si>
  <si>
    <t>T018</t>
  </si>
  <si>
    <t>T019</t>
  </si>
  <si>
    <t>T020</t>
  </si>
  <si>
    <t>T021</t>
  </si>
  <si>
    <t>Gari</t>
  </si>
  <si>
    <t>T022</t>
  </si>
  <si>
    <t>T023</t>
  </si>
  <si>
    <t>T024</t>
  </si>
  <si>
    <t>T025</t>
  </si>
  <si>
    <t>Base Ponzu</t>
  </si>
  <si>
    <t>T026</t>
  </si>
  <si>
    <t>T027</t>
  </si>
  <si>
    <t>T028</t>
  </si>
  <si>
    <t>T029</t>
  </si>
  <si>
    <t>T030</t>
  </si>
  <si>
    <t>T031</t>
  </si>
  <si>
    <t>T032</t>
  </si>
  <si>
    <t>T033</t>
  </si>
  <si>
    <t>T034</t>
  </si>
  <si>
    <t>T035</t>
  </si>
  <si>
    <t>T036</t>
  </si>
  <si>
    <t>T037</t>
  </si>
  <si>
    <t>T038</t>
  </si>
  <si>
    <t>T039</t>
  </si>
  <si>
    <t>T040</t>
  </si>
  <si>
    <t>T041</t>
  </si>
  <si>
    <t>T042</t>
  </si>
  <si>
    <t>T043</t>
  </si>
  <si>
    <t>T044</t>
  </si>
  <si>
    <t>T045</t>
  </si>
  <si>
    <t>T046</t>
  </si>
  <si>
    <t>T047</t>
  </si>
  <si>
    <t>T048</t>
  </si>
  <si>
    <t>T049</t>
  </si>
  <si>
    <t>T050</t>
  </si>
  <si>
    <t>T051</t>
  </si>
  <si>
    <t>T052</t>
  </si>
  <si>
    <t>T053</t>
  </si>
  <si>
    <t>T054</t>
  </si>
  <si>
    <t>T055</t>
  </si>
  <si>
    <t>T056</t>
  </si>
  <si>
    <t>T057</t>
  </si>
  <si>
    <t>T058</t>
  </si>
  <si>
    <t>T059</t>
  </si>
  <si>
    <t>T060</t>
  </si>
  <si>
    <t>T061</t>
  </si>
  <si>
    <t>T062</t>
  </si>
  <si>
    <t>T063</t>
  </si>
  <si>
    <t>T064</t>
  </si>
  <si>
    <t>T065</t>
  </si>
  <si>
    <t>T066</t>
  </si>
  <si>
    <t>T067</t>
  </si>
  <si>
    <t>T068</t>
  </si>
  <si>
    <t>T069</t>
  </si>
  <si>
    <t>T070</t>
  </si>
  <si>
    <t>T071</t>
  </si>
  <si>
    <t>T072</t>
  </si>
  <si>
    <t>T073</t>
  </si>
  <si>
    <t>T074</t>
  </si>
  <si>
    <t>T075</t>
  </si>
  <si>
    <t>T076</t>
  </si>
  <si>
    <t>T077</t>
  </si>
  <si>
    <t>T078</t>
  </si>
  <si>
    <t>T079</t>
  </si>
  <si>
    <t>T080</t>
  </si>
  <si>
    <t>Carrasco   /   Producción por semana</t>
  </si>
  <si>
    <t>Las cantidades previstas se basan en los pedidos por quincena del verano pasado. Cada columna corresponde a la semana de elaboración.
Las fechas de retiro son orientativas hasta que Punta y Carrasco las confirmen.</t>
  </si>
  <si>
    <t>Apertura y adelantos para el pico</t>
  </si>
  <si>
    <t>Temporada alta</t>
  </si>
  <si>
    <t>kg</t>
  </si>
  <si>
    <t>L</t>
  </si>
  <si>
    <t>Adelantos movidos al pico</t>
  </si>
  <si>
    <t>Reposiciones después del 17 de enero</t>
  </si>
  <si>
    <t>Batayaki del 9/11: 5 kg previstos para el retiro del 30/11 y 13 kg para el del 15/12. Si se autorizan ambas cantidades, podés elaborar los 18 kg juntos.
Separá los envases por retiro, rotulalos y guardalos en freezer a −18 °C. Anotá en «Hecho» lo que hiciste para cada fila.</t>
  </si>
  <si>
    <t>Se planificó de lunes a viernes y se repartieron las jornadas de mayor carga. Los topes de trabajo para Punta se pueden ajustar en Encargado.</t>
  </si>
  <si>
    <t>Criterio de producción</t>
  </si>
  <si>
    <t>Traslado, días</t>
  </si>
  <si>
    <t>Margen al vencer, días</t>
  </si>
  <si>
    <t>Inicio de alta</t>
  </si>
  <si>
    <t>Fin de alta</t>
  </si>
  <si>
    <t>Las fechas y cantidades son orientativas. Se ajustan a los pedidos reales, al stock y a la capacidad de Carrasco, respetando siempre la vida útil.</t>
  </si>
  <si>
    <t>El retiro y el consumo son fechas independientes. El margen se mide desde el último día de uso, con el producto conservado según su ficha.</t>
  </si>
  <si>
    <t>Vida útil</t>
  </si>
  <si>
    <t>Plazo</t>
  </si>
  <si>
    <t>Días de marinado</t>
  </si>
  <si>
    <t>Guardar</t>
  </si>
  <si>
    <t>Al abrir o terminar</t>
  </si>
  <si>
    <t>Ficha de referencia</t>
  </si>
  <si>
    <t>Texto para cocina</t>
  </si>
  <si>
    <t>Envase estándar</t>
  </si>
  <si>
    <t>días</t>
  </si>
  <si>
    <t>Congelada y envasada; −18 °C</t>
  </si>
  <si>
    <t>Abierta y refrigerada: 3 días</t>
  </si>
  <si>
    <t>Fichas Técnicas - Norimoto.pdf, p. 16; PF - Batayaki (PDE).pdf</t>
  </si>
  <si>
    <t>Freezer −18 °C.
Abierta en heladera: 3 días, sin superar vencimiento.</t>
  </si>
  <si>
    <t>Congelada; −18 °C</t>
  </si>
  <si>
    <t>Fichas Técnicas - Norimoto.pdf, p. 17; PF - Hisosu (PDE).pdf</t>
  </si>
  <si>
    <t>Cerrado, seco; protegido de humedad</t>
  </si>
  <si>
    <t>Abierto: 7 días</t>
  </si>
  <si>
    <t>Fichas Técnicas - Norimoto.pdf, p. 18; PF - Furikake (PDE).pdf</t>
  </si>
  <si>
    <t>Seco, cerrado y sin humedad.
Abierto: 7 días, sin superar vencimiento.</t>
  </si>
  <si>
    <t>Fichas Técnicas - Norimoto.pdf, p. 19; PF - Furilot (PDE).pdf</t>
  </si>
  <si>
    <t>Fichas Técnicas - Norimoto.pdf, p. 20; PF - Pachikay (PDE).pdf</t>
  </si>
  <si>
    <t>Cerrado y refrigerado; 0–5 °C</t>
  </si>
  <si>
    <t>Abierto en topinera: 7 días</t>
  </si>
  <si>
    <t>Fichas Técnicas - Norimoto.pdf, p. 21; PF - Umami 5KG (PDE).pdf</t>
  </si>
  <si>
    <t>Heladera 0–5 °C.
Abierto en topinera: 7 días, sin superar vencimiento.</t>
  </si>
  <si>
    <t>Envase original cerrado; 0–5 °C</t>
  </si>
  <si>
    <t>Abierto en estación: 7 días</t>
  </si>
  <si>
    <t>Fichas Técnicas - Norimoto.pdf, p. 27; PF - Gari (PDE).pdf</t>
  </si>
  <si>
    <t>Heladera 0–5 °C. Marinar 24 h.
Abierto: 7 días, sin superar vencimiento.</t>
  </si>
  <si>
    <t>mes</t>
  </si>
  <si>
    <t>Ambiente 15–30 °C; sin luz ni calor</t>
  </si>
  <si>
    <t>Sin plazo adicional; fresco, seco y cerrado</t>
  </si>
  <si>
    <t>Fichas Técnicas - Norimoto.pdf, p. 11</t>
  </si>
  <si>
    <t>Lugar fresco y seco, 15–30 °C.
Proteger de luz y calor.</t>
  </si>
  <si>
    <t>Temperatura ambiente</t>
  </si>
  <si>
    <t>Sin plazo separado declarado</t>
  </si>
  <si>
    <t>Fichas Técnicas - Norimoto.pdf, p. 13</t>
  </si>
  <si>
    <t>Temperatura ambiente.</t>
  </si>
  <si>
    <t>Refrigerada; 0–5 °C</t>
  </si>
  <si>
    <t>Fichas Técnicas - Norimoto.pdf, p. 14</t>
  </si>
  <si>
    <t>Heladera 0–5 °C.</t>
  </si>
  <si>
    <t>Base CDP refrigerada; 0–5 °C</t>
  </si>
  <si>
    <t>Mezclada con limón: 5 días</t>
  </si>
  <si>
    <t>Fichas Técnicas - Norimoto.pdf, p. 12</t>
  </si>
  <si>
    <t>Heladera 0–5 °C. Solo base.
El cítrico se agrega en barra.</t>
  </si>
  <si>
    <t>Fichas Técnicas - Norimoto.pdf, p. 15; PF - Mayo spicy (PDE).pdf</t>
  </si>
  <si>
    <t>Días sin producción ni retiro</t>
  </si>
  <si>
    <t>Apertura</t>
  </si>
  <si>
    <t>Recetas por jornada</t>
  </si>
  <si>
    <t>La carga de Punta se distribuye de lunes a viernes con hasta dos recetas por jornada. Se dejó libre el 24, 25 y 31/12 y el 1/1. El encargado confirma turnos, insumos y lugar antes de producir.</t>
  </si>
  <si>
    <t>Tanda</t>
  </si>
  <si>
    <t>Retiro propuesto</t>
  </si>
  <si>
    <t>Adelanto para alta</t>
  </si>
  <si>
    <t>Quincena histórica</t>
  </si>
  <si>
    <t>Q1</t>
  </si>
  <si>
    <t>Q2</t>
  </si>
  <si>
    <t>Q3</t>
  </si>
  <si>
    <t>Q4</t>
  </si>
  <si>
    <t>Q1 + Q2</t>
  </si>
  <si>
    <t>Q2 + Q3</t>
  </si>
  <si>
    <t>Q3 + Q4</t>
  </si>
  <si>
    <t>Q5</t>
  </si>
  <si>
    <t>Q6</t>
  </si>
  <si>
    <t>Norimoto | Pedidos de referencia</t>
  </si>
  <si>
    <t>Histórico del verano pasado, informado por el usuario. Referencia para el plan base 2026/27.</t>
  </si>
  <si>
    <t>Q</t>
  </si>
  <si>
    <t>Período</t>
  </si>
  <si>
    <t>Artículo informado</t>
  </si>
  <si>
    <t>Artículo normalizado</t>
  </si>
  <si>
    <t>Tratamiento</t>
  </si>
  <si>
    <t>Observación</t>
  </si>
  <si>
    <t>01/12 al 15/12</t>
  </si>
  <si>
    <t>Tsue Norimoto</t>
  </si>
  <si>
    <t>Elaborado</t>
  </si>
  <si>
    <t>Mayo spicy</t>
  </si>
  <si>
    <t>Sesamo Integral</t>
  </si>
  <si>
    <t>Sésamo integral</t>
  </si>
  <si>
    <t>Compra</t>
  </si>
  <si>
    <t>Jengibre</t>
  </si>
  <si>
    <t>16/12 al 31/12</t>
  </si>
  <si>
    <t>Jengibre Gari Norimoto</t>
  </si>
  <si>
    <t>Gari / pickle de jengibre</t>
  </si>
  <si>
    <t>Tajín</t>
  </si>
  <si>
    <t>Salsa Ponzu</t>
  </si>
  <si>
    <t>01/01 al 15/01</t>
  </si>
  <si>
    <t>16/01 al 31/01</t>
  </si>
  <si>
    <t>Sal Marina</t>
  </si>
  <si>
    <t>01/02 al 15/02</t>
  </si>
  <si>
    <t>Wasabi</t>
  </si>
  <si>
    <t>Bouquet (Servilletas)</t>
  </si>
  <si>
    <t>Uds</t>
  </si>
  <si>
    <t>16/02 al 28/02</t>
  </si>
  <si>
    <t>Carrasco  /  Pedido a entregar en Punta</t>
  </si>
  <si>
    <t>Elegí el día acordado con Punta. Se juntan todas las tandas con esa fecha en «Retiro» de Encargado.</t>
  </si>
  <si>
    <t>Fecha de retiro</t>
  </si>
  <si>
    <t>El pedido confirmado es la cantidad completa que pidió Punta, incluido lo reservado en stock.</t>
  </si>
  <si>
    <t>Pedido confirmado</t>
  </si>
  <si>
    <t>Previsto sin confirmar</t>
  </si>
  <si>
    <t>Total en kilos</t>
  </si>
  <si>
    <t>Total en litros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</si>
</sst>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"/>
    <numFmt numFmtId="165" formatCode="0.0##&quot; kg&quot;"/>
    <numFmt numFmtId="166" formatCode="0.0##&quot; L&quot;"/>
    <numFmt numFmtId="167" formatCode="General;General;&quot;&quot;"/>
  </numFmts>
  <fonts count="29">
    <font>
      <sz val="11"/>
      <name val="Carlito"/>
    </font>
    <font>
      <b/>
      <sz val="11"/>
      <color rgb="FFFFFFFF"/>
      <name val="Arial"/>
      <family val="2"/>
    </font>
    <font>
      <sz val="11"/>
      <color rgb="FF5E5B57"/>
      <name val="Arial"/>
      <family val="2"/>
    </font>
    <font>
      <b/>
      <sz val="16"/>
      <color rgb="FFB93626"/>
      <name val="Arial"/>
      <family val="2"/>
    </font>
    <font>
      <sz val="11"/>
      <color rgb="FF1A1A1A"/>
      <name val="Arial"/>
      <family val="2"/>
    </font>
    <font>
      <sz val="12"/>
      <color rgb="FF1A1A1A"/>
      <name val="Arial"/>
      <family val="2"/>
    </font>
    <font>
      <b/>
      <sz val="17"/>
      <color rgb="FFB93626"/>
      <name val="Arial"/>
      <family val="2"/>
    </font>
    <font>
      <b/>
      <sz val="14"/>
      <color rgb="FF1A1A1A"/>
      <name val="Arial"/>
      <family val="2"/>
    </font>
    <font>
      <b/>
      <sz val="13"/>
      <color rgb="FF1A1A1A"/>
      <name val="Arial"/>
      <family val="2"/>
    </font>
    <font>
      <b/>
      <sz val="12"/>
      <color rgb="FFFFFFFF"/>
      <name val="Arial"/>
      <family val="2"/>
    </font>
    <font>
      <sz val="11"/>
      <color rgb="FF1A1A1A"/>
      <name val="Arial"/>
      <family val="2"/>
    </font>
    <font>
      <sz val="12"/>
      <color rgb="FF1A1A1A"/>
      <name val="Arial"/>
      <family val="2"/>
    </font>
    <font>
      <sz val="10"/>
      <color rgb="FF5E5B57"/>
      <name val="Arial"/>
      <family val="2"/>
    </font>
    <font>
      <b/>
      <sz val="10"/>
      <color rgb="FF1A1A1A"/>
      <name val="Arial"/>
      <family val="2"/>
    </font>
    <font>
      <b/>
      <sz val="12"/>
      <color rgb="FF1A1A1A"/>
      <name val="Arial"/>
      <family val="2"/>
    </font>
    <font>
      <sz val="10"/>
      <color rgb="FFB93626"/>
      <name val="Arial"/>
      <family val="2"/>
    </font>
    <font>
      <b/>
      <sz val="11"/>
      <color rgb="FF953B2D"/>
      <name val="Arial"/>
      <family val="2"/>
    </font>
    <font>
      <b/>
      <sz val="16"/>
      <color rgb="FFB93626"/>
      <name val="Arial"/>
      <family val="2"/>
    </font>
    <font>
      <sz val="10"/>
      <color rgb="FF1A1A1A"/>
      <name val="Arial"/>
      <family val="2"/>
    </font>
    <font>
      <b/>
      <sz val="10"/>
      <color rgb="FFFFFFFF"/>
      <name val="Arial"/>
      <family val="2"/>
    </font>
    <font>
      <b/>
      <sz val="11"/>
      <color rgb="FF1A1A1A"/>
      <name val="Arial"/>
      <family val="2"/>
    </font>
    <font>
      <sz val="12"/>
      <color rgb="FF1A1A1A"/>
      <name val="Arial"/>
      <family val="2"/>
    </font>
    <font>
      <b/>
      <sz val="18"/>
      <color rgb="FFB93626"/>
      <name val="Arial"/>
      <family val="2"/>
    </font>
    <font>
      <sz val="11"/>
      <color rgb="FF5E5B57"/>
      <name val="Arial"/>
      <family val="2"/>
    </font>
    <font>
      <b/>
      <sz val="11"/>
      <color rgb="FF1A1A1A"/>
      <name val="Arial"/>
      <family val="2"/>
    </font>
    <font>
      <sz val="12"/>
      <color rgb="FF5E5B57"/>
      <name val="Arial"/>
      <family val="2"/>
    </font>
    <font>
      <sz val="12"/>
      <color rgb="FF1A1A1A"/>
      <name val="Arial"/>
      <family val="2"/>
    </font>
    <font>
      <sz val="11"/>
      <color rgb="FF1A1A1A"/>
      <name val="Arial"/>
      <family val="2"/>
    </font>
    <font>
      <sz val="11"/>
      <color rgb="FF5E5B57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252321"/>
      </patternFill>
    </fill>
    <fill>
      <patternFill patternType="solid">
        <fgColor rgb="FFFFF1CA"/>
      </patternFill>
    </fill>
    <fill>
      <patternFill patternType="solid">
        <fgColor rgb="FFFFF1CA"/>
      </patternFill>
    </fill>
    <fill>
      <patternFill patternType="solid">
        <fgColor rgb="FF49443F"/>
      </patternFill>
    </fill>
    <fill>
      <patternFill patternType="solid">
        <fgColor rgb="FFB93626"/>
      </patternFill>
    </fill>
    <fill>
      <patternFill patternType="solid">
        <fgColor rgb="FFEAE6DE"/>
      </patternFill>
    </fill>
    <fill>
      <patternFill patternType="solid">
        <fgColor rgb="FFFAE6E0"/>
      </patternFill>
    </fill>
    <fill>
      <patternFill patternType="solid">
        <fgColor rgb="FFF8F6F2"/>
      </patternFill>
    </fill>
    <fill>
      <patternFill patternType="solid">
        <fgColor rgb="FFFFF1CA"/>
      </patternFill>
    </fill>
    <fill>
      <patternFill patternType="solid">
        <fgColor rgb="FF252321"/>
      </patternFill>
    </fill>
    <fill>
      <patternFill patternType="solid">
        <fgColor rgb="FFF4F1EB"/>
      </patternFill>
    </fill>
    <fill>
      <patternFill patternType="solid">
        <fgColor rgb="FFFFF1CA"/>
      </patternFill>
    </fill>
    <fill>
      <patternFill patternType="solid">
        <fgColor rgb="FFFFF1CA"/>
      </patternFill>
    </fill>
    <fill>
      <patternFill patternType="solid">
        <fgColor rgb="FFF4F1EB"/>
      </patternFill>
    </fill>
    <fill>
      <patternFill patternType="solid">
        <fgColor rgb="FF252321"/>
      </patternFill>
    </fill>
    <fill>
      <patternFill patternType="solid">
        <fgColor rgb="FFF8F6F2"/>
      </patternFill>
    </fill>
    <fill>
      <patternFill patternType="solid">
        <fgColor rgb="FFEEE9DE"/>
      </patternFill>
    </fill>
    <fill>
      <patternFill patternType="solid">
        <fgColor rgb="FFF4F1EB"/>
      </patternFill>
    </fill>
    <fill>
      <patternFill patternType="solid">
        <fgColor rgb="FF252321"/>
      </patternFill>
    </fill>
    <fill>
      <patternFill patternType="solid">
        <fgColor rgb="FFF8F6F2"/>
      </patternFill>
    </fill>
    <fill>
      <patternFill patternType="solid">
        <fgColor rgb="FFFFF1CA"/>
      </patternFill>
    </fill>
  </fills>
  <borders count="2">
    <border>
      <left/>
      <right/>
      <top/>
      <bottom/>
      <diagonal/>
    </border>
    <border>
      <left style="thin">
        <color rgb="FFDECEA7"/>
      </left>
      <right style="thin">
        <color rgb="FFDECEA7"/>
      </right>
      <top style="thin">
        <color rgb="FFDECEA7"/>
      </top>
      <bottom style="thin">
        <color rgb="FFDECEA7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0" fillId="0" borderId="0" xfId="0" applyNumberFormat="1"/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7" fillId="3" borderId="0" xfId="0" applyNumberFormat="1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4" borderId="0" xfId="0" applyFont="1" applyFill="1" applyAlignment="1">
      <alignment vertical="center"/>
    </xf>
    <xf numFmtId="0" fontId="13" fillId="7" borderId="0" xfId="0" applyFont="1" applyFill="1" applyAlignment="1">
      <alignment horizontal="center" vertical="center" wrapText="1"/>
    </xf>
    <xf numFmtId="0" fontId="13" fillId="8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9" borderId="0" xfId="0" applyFont="1" applyFill="1" applyAlignment="1">
      <alignment vertical="center"/>
    </xf>
    <xf numFmtId="0" fontId="1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vertical="center"/>
    </xf>
    <xf numFmtId="0" fontId="19" fillId="11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/>
    </xf>
    <xf numFmtId="164" fontId="4" fillId="13" borderId="0" xfId="0" applyNumberFormat="1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vertical="center"/>
    </xf>
    <xf numFmtId="165" fontId="4" fillId="3" borderId="0" xfId="0" applyNumberFormat="1" applyFont="1" applyFill="1" applyAlignment="1">
      <alignment vertical="center"/>
    </xf>
    <xf numFmtId="166" fontId="4" fillId="3" borderId="0" xfId="0" applyNumberFormat="1" applyFont="1" applyFill="1" applyAlignment="1">
      <alignment vertical="center"/>
    </xf>
    <xf numFmtId="165" fontId="20" fillId="12" borderId="0" xfId="0" applyNumberFormat="1" applyFont="1" applyFill="1" applyAlignment="1">
      <alignment vertical="center"/>
    </xf>
    <xf numFmtId="166" fontId="20" fillId="12" borderId="0" xfId="0" applyNumberFormat="1" applyFont="1" applyFill="1" applyAlignment="1">
      <alignment vertical="center"/>
    </xf>
    <xf numFmtId="0" fontId="20" fillId="12" borderId="0" xfId="0" applyFont="1" applyFill="1" applyAlignment="1">
      <alignment vertical="center"/>
    </xf>
    <xf numFmtId="0" fontId="2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7" fillId="14" borderId="0" xfId="0" applyNumberFormat="1" applyFont="1" applyFill="1" applyAlignment="1">
      <alignment horizontal="center" vertical="center"/>
    </xf>
    <xf numFmtId="0" fontId="9" fillId="16" borderId="0" xfId="0" applyFont="1" applyFill="1" applyAlignment="1">
      <alignment horizontal="center" vertical="center"/>
    </xf>
    <xf numFmtId="14" fontId="0" fillId="0" borderId="0" xfId="0" applyNumberFormat="1"/>
    <xf numFmtId="0" fontId="21" fillId="17" borderId="0" xfId="0" applyFont="1" applyFill="1" applyAlignment="1">
      <alignment vertical="center"/>
    </xf>
    <xf numFmtId="0" fontId="21" fillId="17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167" fontId="8" fillId="17" borderId="0" xfId="0" applyNumberFormat="1" applyFont="1" applyFill="1" applyAlignment="1">
      <alignment vertical="center"/>
    </xf>
    <xf numFmtId="167" fontId="25" fillId="17" borderId="0" xfId="0" applyNumberFormat="1" applyFont="1" applyFill="1" applyAlignment="1">
      <alignment vertical="center"/>
    </xf>
    <xf numFmtId="167" fontId="8" fillId="0" borderId="0" xfId="0" applyNumberFormat="1" applyFont="1" applyAlignment="1">
      <alignment vertical="center"/>
    </xf>
    <xf numFmtId="167" fontId="25" fillId="0" borderId="0" xfId="0" applyNumberFormat="1" applyFont="1" applyAlignment="1">
      <alignment vertical="center"/>
    </xf>
    <xf numFmtId="0" fontId="14" fillId="18" borderId="0" xfId="0" applyFont="1" applyFill="1" applyAlignment="1">
      <alignment vertical="center"/>
    </xf>
    <xf numFmtId="0" fontId="14" fillId="18" borderId="0" xfId="0" applyFont="1" applyFill="1" applyAlignment="1">
      <alignment horizontal="center" vertical="center"/>
    </xf>
    <xf numFmtId="0" fontId="26" fillId="0" borderId="0" xfId="0" applyFont="1" applyAlignment="1">
      <alignment vertical="center"/>
    </xf>
    <xf numFmtId="0" fontId="9" fillId="20" borderId="0" xfId="0" applyFont="1" applyFill="1" applyAlignment="1">
      <alignment vertical="center"/>
    </xf>
    <xf numFmtId="0" fontId="26" fillId="21" borderId="0" xfId="0" applyFont="1" applyFill="1" applyAlignment="1">
      <alignment vertical="center"/>
    </xf>
    <xf numFmtId="0" fontId="26" fillId="21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14" fillId="2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0" fillId="0" borderId="0" xfId="0"/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4" fillId="15" borderId="0" xfId="0" applyFont="1" applyFill="1" applyAlignment="1">
      <alignment vertical="center" wrapText="1"/>
    </xf>
    <xf numFmtId="0" fontId="28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14" fillId="19" borderId="0" xfId="0" applyFont="1" applyFill="1" applyAlignment="1">
      <alignment vertical="center" wrapText="1"/>
    </xf>
  </cellXfs>
  <cellStyles count="1">
    <cellStyle name="Normal" xfId="0" builtinId="0"/>
  </cellStyles>
  <dxfs count="14">
    <dxf>
      <font>
        <b/>
        <color rgb="FF74490A"/>
      </font>
      <fill>
        <patternFill patternType="solid">
          <bgColor rgb="FFF7E8C6"/>
        </patternFill>
      </fill>
    </dxf>
    <dxf>
      <font>
        <b/>
        <color rgb="FF74490A"/>
      </font>
      <fill>
        <patternFill patternType="solid">
          <bgColor rgb="FFF7E8C6"/>
        </patternFill>
      </fill>
    </dxf>
    <dxf>
      <font>
        <b/>
        <color rgb="FF872C20"/>
      </font>
      <fill>
        <patternFill patternType="solid">
          <bgColor rgb="FFFFD8D2"/>
        </patternFill>
      </fill>
    </dxf>
    <dxf>
      <font>
        <color rgb="FF794304"/>
      </font>
      <fill>
        <patternFill patternType="solid">
          <bgColor rgb="FFFFF1CA"/>
        </patternFill>
      </fill>
    </dxf>
    <dxf>
      <font>
        <b/>
        <color rgb="FF812B18"/>
      </font>
      <fill>
        <patternFill patternType="solid">
          <bgColor rgb="FFFAE1D9"/>
        </patternFill>
      </fill>
    </dxf>
    <dxf>
      <font>
        <b/>
        <color rgb="FF5B6262"/>
      </font>
      <fill>
        <patternFill patternType="solid">
          <bgColor rgb="FFF1F3F2"/>
        </patternFill>
      </fill>
    </dxf>
    <dxf>
      <font>
        <b/>
        <color rgb="FF195137"/>
      </font>
      <fill>
        <patternFill patternType="solid">
          <bgColor rgb="FFD9EFE2"/>
        </patternFill>
      </fill>
    </dxf>
    <dxf>
      <numFmt numFmtId="166" formatCode="0.0##&quot; L&quot;"/>
    </dxf>
    <dxf>
      <numFmt numFmtId="165" formatCode="0.0##&quot; kg&quot;"/>
    </dxf>
    <dxf>
      <numFmt numFmtId="166" formatCode="0.0##&quot; L&quot;"/>
    </dxf>
    <dxf>
      <numFmt numFmtId="165" formatCode="0.0##&quot; kg&quot;"/>
    </dxf>
    <dxf>
      <font>
        <b/>
        <color rgb="FF812B18"/>
      </font>
      <fill>
        <patternFill patternType="solid">
          <bgColor rgb="FFFAE1D9"/>
        </patternFill>
      </fill>
    </dxf>
    <dxf>
      <font>
        <b/>
        <color rgb="FF5B6262"/>
      </font>
      <fill>
        <patternFill patternType="solid">
          <bgColor rgb="FFF1F3F2"/>
        </patternFill>
      </fill>
    </dxf>
    <dxf>
      <font>
        <b/>
        <color rgb="FF195137"/>
      </font>
      <fill>
        <patternFill patternType="solid">
          <bgColor rgb="FFD9EF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Norimoto">
      <a:dk1>
        <a:sysClr val="windowText" lastClr="000000"/>
      </a:dk1>
      <a:lt1>
        <a:sysClr val="window" lastClr="FFFFFF"/>
      </a:lt1>
      <a:dk2>
        <a:srgbClr val="252321"/>
      </a:dk2>
      <a:lt2>
        <a:srgbClr val="F4F1EB"/>
      </a:lt2>
      <a:accent1>
        <a:srgbClr val="E14735"/>
      </a:accent1>
      <a:accent2>
        <a:srgbClr val="252321"/>
      </a:accent2>
      <a:accent3>
        <a:srgbClr val="B93626"/>
      </a:accent3>
      <a:accent4>
        <a:srgbClr val="5E5B57"/>
      </a:accent4>
      <a:accent5>
        <a:srgbClr val="D7BB98"/>
      </a:accent5>
      <a:accent6>
        <a:srgbClr val="426A50"/>
      </a:accent6>
      <a:hlink>
        <a:srgbClr val="A83125"/>
      </a:hlink>
      <a:folHlink>
        <a:srgbClr val="75473E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52321"/>
    <pageSetUpPr fitToPage="1"/>
  </sheetPr>
  <dimension ref="A1:F127"/>
  <sheetViews>
    <sheetView showGridLines="0" zoomScale="90" workbookViewId="0" tabSelected="1">
      <pane ySplit="7" topLeftCell="A8" activePane="bottomLeft" state="frozen"/>
      <selection pane="bottomLeft" sqref="A1:E1"/>
    </sheetView>
  </sheetViews>
  <sheetFormatPr baseColWidth="10" defaultColWidth="8.83203125" defaultRowHeight="15"/>
  <cols>
    <col min="1" max="1" width="23" customWidth="1"/>
    <col min="2" max="2" width="26" customWidth="1"/>
    <col min="3" max="3" width="17" customWidth="1"/>
    <col min="4" max="4" width="14" customWidth="1"/>
    <col min="5" max="5" width="55" customWidth="1"/>
    <col min="6" max="6" width="12" hidden="1" customWidth="1"/>
  </cols>
  <sheetData>
    <row r="1" spans="1:6" ht="34" customHeight="1">
      <c r="A1" s="59" t="s">
        <v>0</v>
      </c>
      <c r="B1" s="60"/>
      <c r="C1" s="60"/>
      <c r="D1" s="60"/>
      <c r="E1" s="60"/>
    </row>
    <row r="2" spans="1:6" ht="40" customHeight="1">
      <c r="A2" s="60" t="s">
        <v>1</v>
      </c>
      <c r="B2" s="60"/>
      <c r="C2" s="60"/>
      <c r="D2" s="60"/>
      <c r="E2" s="60"/>
    </row>
    <row r="3" spans="1:6" ht="34" customHeight="1">
      <c r="A3" s="7" t="s">
        <v>2</v>
      </c>
      <c r="B3" s="8">
        <v>46335</v>
      </c>
      <c r="C3" s="7"/>
      <c r="D3" s="7"/>
      <c r="E3" s="7"/>
    </row>
    <row r="4" spans="1:6" ht="26" customHeight="1">
      <c r="A4" s="60" t="str">
        <f>IF(NOT(ISNUMBER(B3)),"Elegí una fecha.",IF(MAX(Encargado!$V$9:$V$128)=0,"No hay tareas asignadas para el "&amp;DAY(B3)&amp;"/"&amp;MONTH(B3)&amp;". Si buscás otro día, cambiá la fecha amarilla.","La cantidad indica lo que falta hacer."))</f>
        <v>No hay tareas asignadas para el 9/11. Si buscás otro día, cambiá la fecha amarilla.</v>
      </c>
      <c r="B4" s="60"/>
      <c r="C4" s="60"/>
      <c r="D4" s="60"/>
      <c r="E4" s="60"/>
    </row>
    <row r="5" spans="1:6" ht="26" hidden="1" customHeight="1">
      <c r="A5" s="60" t="str">
        <f>IF(AND(ISNUMBER(B3),B3&lt;=criterio!$B$26),Encargado!$AH$5,IF(AND(ISNUMBER(B3),B3&gt;=criterio!$B$5,B3&lt;=criterio!$B$6),"Temporada alta hasta el 17/01. Revisá el próximo retiro antes de reponer.","Previsión = referencia del verano pasado. El encargado confirma pedido, stock y capacidad antes de dar la orden."))</f>
        <v>Apertura 30/11 pendiente: confirmar si hay servicio y con qué stock o pedido se cubre.</v>
      </c>
      <c r="B5" s="60"/>
      <c r="C5" s="60"/>
      <c r="D5" s="60"/>
      <c r="E5" s="60"/>
    </row>
    <row r="6" spans="1:6" ht="23" hidden="1" customHeight="1">
      <c r="A6" s="60" t="str">
        <f>IF(Encargado!$AH$4&lt;&gt;"",Encargado!$AH$4,"Al terminar, avisá cuánto salió. El encargado lo anota en la fila de esa tanda.")</f>
        <v>Al terminar, avisá cuánto salió. El encargado lo anota en la fila de esa tanda.</v>
      </c>
      <c r="B6" s="60"/>
      <c r="C6" s="60"/>
      <c r="D6" s="60"/>
      <c r="E6" s="60"/>
    </row>
    <row r="7" spans="1:6" ht="36" customHeight="1">
      <c r="A7" s="1" t="s">
        <v>3</v>
      </c>
      <c r="B7" s="1" t="s">
        <v>4</v>
      </c>
      <c r="C7" s="1" t="s">
        <v>5</v>
      </c>
      <c r="D7" s="1" t="s">
        <v>6</v>
      </c>
      <c r="E7" s="1" t="s">
        <v>7</v>
      </c>
    </row>
    <row r="8" spans="1:6" ht="67" customHeight="1">
      <c r="A8" s="50" t="str">
        <f>IF($F8=0,"",INDEX(Encargado!$AL$9:$AL$128,$F8))</f>
        <v/>
      </c>
      <c r="B8" s="50" t="str">
        <f>IF($F8=0,"",INDEX(Encargado!$A$9:$A$128,$F8)&amp;IF(INDEX(Encargado!$L$9:$L$128,$F8)="Adelanto"," · Adelanto para stock","")&amp;IF(AND(ISNUMBER(INDEX(Encargado!$D$9:$D$128,$F8)),ISNUMBER(INDEX(Encargado!$E$9:$E$128,$F8))),CHAR(10)&amp;TEXT(INDEX(Encargado!$D$9:$D$128,$F8),"dd/mm")&amp;" al "&amp;TEXT(INDEX(Encargado!$E$9:$E$128,$F8),"dd/mm"),""))</f>
        <v/>
      </c>
      <c r="C8" s="51" t="str">
        <f>IF($F8=0,"",ROUND(INDEX(Encargado!$J$9:$J$128,$F8),3)&amp;" "&amp;INDEX(Encargado!$F$9:$F$128,$F8))</f>
        <v/>
      </c>
      <c r="D8" s="52" t="str">
        <f>IF($F8=0,"",IF(INDEX(Encargado!$L$9:$L$128,$F8)="Adelanto","Prev. "&amp;TEXT(INDEX(Encargado!$C$9:$C$128,$F8),"dd/mm"),INDEX(Encargado!$C$9:$C$128,$F8)))</f>
        <v/>
      </c>
      <c r="E8" s="50" t="str">
        <f>IF($F8=0,"",INDEX(Encargado!$Y$9:$Y$128,$F8)&amp;CHAR(10)&amp;"Vto. previsto: "&amp;TEXT(INDEX(Encargado!$Q$9:$Q$128,$F8),"dd/mm/yy"))</f>
        <v/>
      </c>
      <c r="F8">
        <f>IFERROR(MATCH(1,Encargado!$V$9:$V$128,0),0)</f>
        <v>0</v>
      </c>
    </row>
    <row r="9" spans="1:6" ht="67" customHeight="1">
      <c r="A9" s="50" t="str">
        <f>IF($F9=0,"",INDEX(Encargado!$AL$9:$AL$128,$F9))</f>
        <v/>
      </c>
      <c r="B9" s="50" t="str">
        <f>IF($F9=0,"",INDEX(Encargado!$A$9:$A$128,$F9)&amp;IF(INDEX(Encargado!$L$9:$L$128,$F9)="Adelanto"," · Adelanto para stock","")&amp;IF(AND(ISNUMBER(INDEX(Encargado!$D$9:$D$128,$F9)),ISNUMBER(INDEX(Encargado!$E$9:$E$128,$F9))),CHAR(10)&amp;TEXT(INDEX(Encargado!$D$9:$D$128,$F9),"dd/mm")&amp;" al "&amp;TEXT(INDEX(Encargado!$E$9:$E$128,$F9),"dd/mm"),""))</f>
        <v/>
      </c>
      <c r="C9" s="51" t="str">
        <f>IF($F9=0,"",ROUND(INDEX(Encargado!$J$9:$J$128,$F9),3)&amp;" "&amp;INDEX(Encargado!$F$9:$F$128,$F9))</f>
        <v/>
      </c>
      <c r="D9" s="52" t="str">
        <f>IF($F9=0,"",IF(INDEX(Encargado!$L$9:$L$128,$F9)="Adelanto","Prev. "&amp;TEXT(INDEX(Encargado!$C$9:$C$128,$F9),"dd/mm"),INDEX(Encargado!$C$9:$C$128,$F9)))</f>
        <v/>
      </c>
      <c r="E9" s="50" t="str">
        <f>IF($F9=0,"",INDEX(Encargado!$Y$9:$Y$128,$F9)&amp;CHAR(10)&amp;"Vto. previsto: "&amp;TEXT(INDEX(Encargado!$Q$9:$Q$128,$F9),"dd/mm/yy"))</f>
        <v/>
      </c>
      <c r="F9">
        <f>IFERROR(MATCH(2,Encargado!$V$9:$V$128,0),0)</f>
        <v>0</v>
      </c>
    </row>
    <row r="10" spans="1:6" ht="67" customHeight="1">
      <c r="A10" s="50" t="str">
        <f>IF($F10=0,"",INDEX(Encargado!$AL$9:$AL$128,$F10))</f>
        <v/>
      </c>
      <c r="B10" s="50" t="str">
        <f>IF($F10=0,"",INDEX(Encargado!$A$9:$A$128,$F10)&amp;IF(INDEX(Encargado!$L$9:$L$128,$F10)="Adelanto"," · Adelanto para stock","")&amp;IF(AND(ISNUMBER(INDEX(Encargado!$D$9:$D$128,$F10)),ISNUMBER(INDEX(Encargado!$E$9:$E$128,$F10))),CHAR(10)&amp;TEXT(INDEX(Encargado!$D$9:$D$128,$F10),"dd/mm")&amp;" al "&amp;TEXT(INDEX(Encargado!$E$9:$E$128,$F10),"dd/mm"),""))</f>
        <v/>
      </c>
      <c r="C10" s="51" t="str">
        <f>IF($F10=0,"",ROUND(INDEX(Encargado!$J$9:$J$128,$F10),3)&amp;" "&amp;INDEX(Encargado!$F$9:$F$128,$F10))</f>
        <v/>
      </c>
      <c r="D10" s="52" t="str">
        <f>IF($F10=0,"",IF(INDEX(Encargado!$L$9:$L$128,$F10)="Adelanto","Prev. "&amp;TEXT(INDEX(Encargado!$C$9:$C$128,$F10),"dd/mm"),INDEX(Encargado!$C$9:$C$128,$F10)))</f>
        <v/>
      </c>
      <c r="E10" s="50" t="str">
        <f>IF($F10=0,"",INDEX(Encargado!$Y$9:$Y$128,$F10)&amp;CHAR(10)&amp;"Vto. previsto: "&amp;TEXT(INDEX(Encargado!$Q$9:$Q$128,$F10),"dd/mm/yy"))</f>
        <v/>
      </c>
      <c r="F10">
        <f>IFERROR(MATCH(3,Encargado!$V$9:$V$128,0),0)</f>
        <v>0</v>
      </c>
    </row>
    <row r="11" spans="1:6" ht="67" customHeight="1">
      <c r="A11" s="50" t="str">
        <f>IF($F11=0,"",INDEX(Encargado!$AL$9:$AL$128,$F11))</f>
        <v/>
      </c>
      <c r="B11" s="50" t="str">
        <f>IF($F11=0,"",INDEX(Encargado!$A$9:$A$128,$F11)&amp;IF(INDEX(Encargado!$L$9:$L$128,$F11)="Adelanto"," · Adelanto para stock","")&amp;IF(AND(ISNUMBER(INDEX(Encargado!$D$9:$D$128,$F11)),ISNUMBER(INDEX(Encargado!$E$9:$E$128,$F11))),CHAR(10)&amp;TEXT(INDEX(Encargado!$D$9:$D$128,$F11),"dd/mm")&amp;" al "&amp;TEXT(INDEX(Encargado!$E$9:$E$128,$F11),"dd/mm"),""))</f>
        <v/>
      </c>
      <c r="C11" s="51" t="str">
        <f>IF($F11=0,"",ROUND(INDEX(Encargado!$J$9:$J$128,$F11),3)&amp;" "&amp;INDEX(Encargado!$F$9:$F$128,$F11))</f>
        <v/>
      </c>
      <c r="D11" s="52" t="str">
        <f>IF($F11=0,"",IF(INDEX(Encargado!$L$9:$L$128,$F11)="Adelanto","Prev. "&amp;TEXT(INDEX(Encargado!$C$9:$C$128,$F11),"dd/mm"),INDEX(Encargado!$C$9:$C$128,$F11)))</f>
        <v/>
      </c>
      <c r="E11" s="50" t="str">
        <f>IF($F11=0,"",INDEX(Encargado!$Y$9:$Y$128,$F11)&amp;CHAR(10)&amp;"Vto. previsto: "&amp;TEXT(INDEX(Encargado!$Q$9:$Q$128,$F11),"dd/mm/yy"))</f>
        <v/>
      </c>
      <c r="F11">
        <f>IFERROR(MATCH(4,Encargado!$V$9:$V$128,0),0)</f>
        <v>0</v>
      </c>
    </row>
    <row r="12" spans="1:6" ht="67" customHeight="1">
      <c r="A12" s="50" t="str">
        <f>IF($F12=0,"",INDEX(Encargado!$AL$9:$AL$128,$F12))</f>
        <v/>
      </c>
      <c r="B12" s="50" t="str">
        <f>IF($F12=0,"",INDEX(Encargado!$A$9:$A$128,$F12)&amp;IF(INDEX(Encargado!$L$9:$L$128,$F12)="Adelanto"," · Adelanto para stock","")&amp;IF(AND(ISNUMBER(INDEX(Encargado!$D$9:$D$128,$F12)),ISNUMBER(INDEX(Encargado!$E$9:$E$128,$F12))),CHAR(10)&amp;TEXT(INDEX(Encargado!$D$9:$D$128,$F12),"dd/mm")&amp;" al "&amp;TEXT(INDEX(Encargado!$E$9:$E$128,$F12),"dd/mm"),""))</f>
        <v/>
      </c>
      <c r="C12" s="51" t="str">
        <f>IF($F12=0,"",ROUND(INDEX(Encargado!$J$9:$J$128,$F12),3)&amp;" "&amp;INDEX(Encargado!$F$9:$F$128,$F12))</f>
        <v/>
      </c>
      <c r="D12" s="52" t="str">
        <f>IF($F12=0,"",IF(INDEX(Encargado!$L$9:$L$128,$F12)="Adelanto","Prev. "&amp;TEXT(INDEX(Encargado!$C$9:$C$128,$F12),"dd/mm"),INDEX(Encargado!$C$9:$C$128,$F12)))</f>
        <v/>
      </c>
      <c r="E12" s="50" t="str">
        <f>IF($F12=0,"",INDEX(Encargado!$Y$9:$Y$128,$F12)&amp;CHAR(10)&amp;"Vto. previsto: "&amp;TEXT(INDEX(Encargado!$Q$9:$Q$128,$F12),"dd/mm/yy"))</f>
        <v/>
      </c>
      <c r="F12">
        <f>IFERROR(MATCH(5,Encargado!$V$9:$V$128,0),0)</f>
        <v>0</v>
      </c>
    </row>
    <row r="13" spans="1:6" ht="67" customHeight="1">
      <c r="A13" s="50" t="str">
        <f>IF($F13=0,"",INDEX(Encargado!$AL$9:$AL$128,$F13))</f>
        <v/>
      </c>
      <c r="B13" s="50" t="str">
        <f>IF($F13=0,"",INDEX(Encargado!$A$9:$A$128,$F13)&amp;IF(INDEX(Encargado!$L$9:$L$128,$F13)="Adelanto"," · Adelanto para stock","")&amp;IF(AND(ISNUMBER(INDEX(Encargado!$D$9:$D$128,$F13)),ISNUMBER(INDEX(Encargado!$E$9:$E$128,$F13))),CHAR(10)&amp;TEXT(INDEX(Encargado!$D$9:$D$128,$F13),"dd/mm")&amp;" al "&amp;TEXT(INDEX(Encargado!$E$9:$E$128,$F13),"dd/mm"),""))</f>
        <v/>
      </c>
      <c r="C13" s="51" t="str">
        <f>IF($F13=0,"",ROUND(INDEX(Encargado!$J$9:$J$128,$F13),3)&amp;" "&amp;INDEX(Encargado!$F$9:$F$128,$F13))</f>
        <v/>
      </c>
      <c r="D13" s="52" t="str">
        <f>IF($F13=0,"",IF(INDEX(Encargado!$L$9:$L$128,$F13)="Adelanto","Prev. "&amp;TEXT(INDEX(Encargado!$C$9:$C$128,$F13),"dd/mm"),INDEX(Encargado!$C$9:$C$128,$F13)))</f>
        <v/>
      </c>
      <c r="E13" s="50" t="str">
        <f>IF($F13=0,"",INDEX(Encargado!$Y$9:$Y$128,$F13)&amp;CHAR(10)&amp;"Vto. previsto: "&amp;TEXT(INDEX(Encargado!$Q$9:$Q$128,$F13),"dd/mm/yy"))</f>
        <v/>
      </c>
      <c r="F13">
        <f>IFERROR(MATCH(6,Encargado!$V$9:$V$128,0),0)</f>
        <v>0</v>
      </c>
    </row>
    <row r="14" spans="1:6" ht="67" customHeight="1">
      <c r="A14" s="50" t="str">
        <f>IF($F14=0,"",INDEX(Encargado!$AL$9:$AL$128,$F14))</f>
        <v/>
      </c>
      <c r="B14" s="50" t="str">
        <f>IF($F14=0,"",INDEX(Encargado!$A$9:$A$128,$F14)&amp;IF(INDEX(Encargado!$L$9:$L$128,$F14)="Adelanto"," · Adelanto para stock","")&amp;IF(AND(ISNUMBER(INDEX(Encargado!$D$9:$D$128,$F14)),ISNUMBER(INDEX(Encargado!$E$9:$E$128,$F14))),CHAR(10)&amp;TEXT(INDEX(Encargado!$D$9:$D$128,$F14),"dd/mm")&amp;" al "&amp;TEXT(INDEX(Encargado!$E$9:$E$128,$F14),"dd/mm"),""))</f>
        <v/>
      </c>
      <c r="C14" s="51" t="str">
        <f>IF($F14=0,"",ROUND(INDEX(Encargado!$J$9:$J$128,$F14),3)&amp;" "&amp;INDEX(Encargado!$F$9:$F$128,$F14))</f>
        <v/>
      </c>
      <c r="D14" s="52" t="str">
        <f>IF($F14=0,"",IF(INDEX(Encargado!$L$9:$L$128,$F14)="Adelanto","Prev. "&amp;TEXT(INDEX(Encargado!$C$9:$C$128,$F14),"dd/mm"),INDEX(Encargado!$C$9:$C$128,$F14)))</f>
        <v/>
      </c>
      <c r="E14" s="50" t="str">
        <f>IF($F14=0,"",INDEX(Encargado!$Y$9:$Y$128,$F14)&amp;CHAR(10)&amp;"Vto. previsto: "&amp;TEXT(INDEX(Encargado!$Q$9:$Q$128,$F14),"dd/mm/yy"))</f>
        <v/>
      </c>
      <c r="F14">
        <f>IFERROR(MATCH(7,Encargado!$V$9:$V$128,0),0)</f>
        <v>0</v>
      </c>
    </row>
    <row r="15" spans="1:6" ht="67" customHeight="1">
      <c r="A15" s="50" t="str">
        <f>IF($F15=0,"",INDEX(Encargado!$AL$9:$AL$128,$F15))</f>
        <v/>
      </c>
      <c r="B15" s="50" t="str">
        <f>IF($F15=0,"",INDEX(Encargado!$A$9:$A$128,$F15)&amp;IF(INDEX(Encargado!$L$9:$L$128,$F15)="Adelanto"," · Adelanto para stock","")&amp;IF(AND(ISNUMBER(INDEX(Encargado!$D$9:$D$128,$F15)),ISNUMBER(INDEX(Encargado!$E$9:$E$128,$F15))),CHAR(10)&amp;TEXT(INDEX(Encargado!$D$9:$D$128,$F15),"dd/mm")&amp;" al "&amp;TEXT(INDEX(Encargado!$E$9:$E$128,$F15),"dd/mm"),""))</f>
        <v/>
      </c>
      <c r="C15" s="51" t="str">
        <f>IF($F15=0,"",ROUND(INDEX(Encargado!$J$9:$J$128,$F15),3)&amp;" "&amp;INDEX(Encargado!$F$9:$F$128,$F15))</f>
        <v/>
      </c>
      <c r="D15" s="52" t="str">
        <f>IF($F15=0,"",IF(INDEX(Encargado!$L$9:$L$128,$F15)="Adelanto","Prev. "&amp;TEXT(INDEX(Encargado!$C$9:$C$128,$F15),"dd/mm"),INDEX(Encargado!$C$9:$C$128,$F15)))</f>
        <v/>
      </c>
      <c r="E15" s="50" t="str">
        <f>IF($F15=0,"",INDEX(Encargado!$Y$9:$Y$128,$F15)&amp;CHAR(10)&amp;"Vto. previsto: "&amp;TEXT(INDEX(Encargado!$Q$9:$Q$128,$F15),"dd/mm/yy"))</f>
        <v/>
      </c>
      <c r="F15">
        <f>IFERROR(MATCH(8,Encargado!$V$9:$V$128,0),0)</f>
        <v>0</v>
      </c>
    </row>
    <row r="16" spans="1:6" ht="67" customHeight="1">
      <c r="A16" s="50" t="str">
        <f>IF($F16=0,"",INDEX(Encargado!$AL$9:$AL$128,$F16))</f>
        <v/>
      </c>
      <c r="B16" s="50" t="str">
        <f>IF($F16=0,"",INDEX(Encargado!$A$9:$A$128,$F16)&amp;IF(INDEX(Encargado!$L$9:$L$128,$F16)="Adelanto"," · Adelanto para stock","")&amp;IF(AND(ISNUMBER(INDEX(Encargado!$D$9:$D$128,$F16)),ISNUMBER(INDEX(Encargado!$E$9:$E$128,$F16))),CHAR(10)&amp;TEXT(INDEX(Encargado!$D$9:$D$128,$F16),"dd/mm")&amp;" al "&amp;TEXT(INDEX(Encargado!$E$9:$E$128,$F16),"dd/mm"),""))</f>
        <v/>
      </c>
      <c r="C16" s="51" t="str">
        <f>IF($F16=0,"",ROUND(INDEX(Encargado!$J$9:$J$128,$F16),3)&amp;" "&amp;INDEX(Encargado!$F$9:$F$128,$F16))</f>
        <v/>
      </c>
      <c r="D16" s="52" t="str">
        <f>IF($F16=0,"",IF(INDEX(Encargado!$L$9:$L$128,$F16)="Adelanto","Prev. "&amp;TEXT(INDEX(Encargado!$C$9:$C$128,$F16),"dd/mm"),INDEX(Encargado!$C$9:$C$128,$F16)))</f>
        <v/>
      </c>
      <c r="E16" s="50" t="str">
        <f>IF($F16=0,"",INDEX(Encargado!$Y$9:$Y$128,$F16)&amp;CHAR(10)&amp;"Vto. previsto: "&amp;TEXT(INDEX(Encargado!$Q$9:$Q$128,$F16),"dd/mm/yy"))</f>
        <v/>
      </c>
      <c r="F16">
        <f>IFERROR(MATCH(9,Encargado!$V$9:$V$128,0),0)</f>
        <v>0</v>
      </c>
    </row>
    <row r="17" spans="1:6" ht="67" customHeight="1">
      <c r="A17" s="50" t="str">
        <f>IF($F17=0,"",INDEX(Encargado!$AL$9:$AL$128,$F17))</f>
        <v/>
      </c>
      <c r="B17" s="50" t="str">
        <f>IF($F17=0,"",INDEX(Encargado!$A$9:$A$128,$F17)&amp;IF(INDEX(Encargado!$L$9:$L$128,$F17)="Adelanto"," · Adelanto para stock","")&amp;IF(AND(ISNUMBER(INDEX(Encargado!$D$9:$D$128,$F17)),ISNUMBER(INDEX(Encargado!$E$9:$E$128,$F17))),CHAR(10)&amp;TEXT(INDEX(Encargado!$D$9:$D$128,$F17),"dd/mm")&amp;" al "&amp;TEXT(INDEX(Encargado!$E$9:$E$128,$F17),"dd/mm"),""))</f>
        <v/>
      </c>
      <c r="C17" s="51" t="str">
        <f>IF($F17=0,"",ROUND(INDEX(Encargado!$J$9:$J$128,$F17),3)&amp;" "&amp;INDEX(Encargado!$F$9:$F$128,$F17))</f>
        <v/>
      </c>
      <c r="D17" s="52" t="str">
        <f>IF($F17=0,"",IF(INDEX(Encargado!$L$9:$L$128,$F17)="Adelanto","Prev. "&amp;TEXT(INDEX(Encargado!$C$9:$C$128,$F17),"dd/mm"),INDEX(Encargado!$C$9:$C$128,$F17)))</f>
        <v/>
      </c>
      <c r="E17" s="50" t="str">
        <f>IF($F17=0,"",INDEX(Encargado!$Y$9:$Y$128,$F17)&amp;CHAR(10)&amp;"Vto. previsto: "&amp;TEXT(INDEX(Encargado!$Q$9:$Q$128,$F17),"dd/mm/yy"))</f>
        <v/>
      </c>
      <c r="F17">
        <f>IFERROR(MATCH(10,Encargado!$V$9:$V$128,0),0)</f>
        <v>0</v>
      </c>
    </row>
    <row r="18" spans="1:6" ht="67" customHeight="1">
      <c r="A18" s="50" t="str">
        <f>IF($F18=0,"",INDEX(Encargado!$AL$9:$AL$128,$F18))</f>
        <v/>
      </c>
      <c r="B18" s="50" t="str">
        <f>IF($F18=0,"",INDEX(Encargado!$A$9:$A$128,$F18)&amp;IF(INDEX(Encargado!$L$9:$L$128,$F18)="Adelanto"," · Adelanto para stock","")&amp;IF(AND(ISNUMBER(INDEX(Encargado!$D$9:$D$128,$F18)),ISNUMBER(INDEX(Encargado!$E$9:$E$128,$F18))),CHAR(10)&amp;TEXT(INDEX(Encargado!$D$9:$D$128,$F18),"dd/mm")&amp;" al "&amp;TEXT(INDEX(Encargado!$E$9:$E$128,$F18),"dd/mm"),""))</f>
        <v/>
      </c>
      <c r="C18" s="51" t="str">
        <f>IF($F18=0,"",ROUND(INDEX(Encargado!$J$9:$J$128,$F18),3)&amp;" "&amp;INDEX(Encargado!$F$9:$F$128,$F18))</f>
        <v/>
      </c>
      <c r="D18" s="52" t="str">
        <f>IF($F18=0,"",IF(INDEX(Encargado!$L$9:$L$128,$F18)="Adelanto","Prev. "&amp;TEXT(INDEX(Encargado!$C$9:$C$128,$F18),"dd/mm"),INDEX(Encargado!$C$9:$C$128,$F18)))</f>
        <v/>
      </c>
      <c r="E18" s="50" t="str">
        <f>IF($F18=0,"",INDEX(Encargado!$Y$9:$Y$128,$F18)&amp;CHAR(10)&amp;"Vto. previsto: "&amp;TEXT(INDEX(Encargado!$Q$9:$Q$128,$F18),"dd/mm/yy"))</f>
        <v/>
      </c>
      <c r="F18">
        <f>IFERROR(MATCH(11,Encargado!$V$9:$V$128,0),0)</f>
        <v>0</v>
      </c>
    </row>
    <row r="19" spans="1:6" ht="67" customHeight="1">
      <c r="A19" s="50" t="str">
        <f>IF($F19=0,"",INDEX(Encargado!$AL$9:$AL$128,$F19))</f>
        <v/>
      </c>
      <c r="B19" s="50" t="str">
        <f>IF($F19=0,"",INDEX(Encargado!$A$9:$A$128,$F19)&amp;IF(INDEX(Encargado!$L$9:$L$128,$F19)="Adelanto"," · Adelanto para stock","")&amp;IF(AND(ISNUMBER(INDEX(Encargado!$D$9:$D$128,$F19)),ISNUMBER(INDEX(Encargado!$E$9:$E$128,$F19))),CHAR(10)&amp;TEXT(INDEX(Encargado!$D$9:$D$128,$F19),"dd/mm")&amp;" al "&amp;TEXT(INDEX(Encargado!$E$9:$E$128,$F19),"dd/mm"),""))</f>
        <v/>
      </c>
      <c r="C19" s="51" t="str">
        <f>IF($F19=0,"",ROUND(INDEX(Encargado!$J$9:$J$128,$F19),3)&amp;" "&amp;INDEX(Encargado!$F$9:$F$128,$F19))</f>
        <v/>
      </c>
      <c r="D19" s="52" t="str">
        <f>IF($F19=0,"",IF(INDEX(Encargado!$L$9:$L$128,$F19)="Adelanto","Prev. "&amp;TEXT(INDEX(Encargado!$C$9:$C$128,$F19),"dd/mm"),INDEX(Encargado!$C$9:$C$128,$F19)))</f>
        <v/>
      </c>
      <c r="E19" s="50" t="str">
        <f>IF($F19=0,"",INDEX(Encargado!$Y$9:$Y$128,$F19)&amp;CHAR(10)&amp;"Vto. previsto: "&amp;TEXT(INDEX(Encargado!$Q$9:$Q$128,$F19),"dd/mm/yy"))</f>
        <v/>
      </c>
      <c r="F19">
        <f>IFERROR(MATCH(12,Encargado!$V$9:$V$128,0),0)</f>
        <v>0</v>
      </c>
    </row>
    <row r="20" spans="1:6" ht="67" customHeight="1">
      <c r="A20" s="50" t="str">
        <f>IF($F20=0,"",INDEX(Encargado!$AL$9:$AL$128,$F20))</f>
        <v/>
      </c>
      <c r="B20" s="50" t="str">
        <f>IF($F20=0,"",INDEX(Encargado!$A$9:$A$128,$F20)&amp;IF(INDEX(Encargado!$L$9:$L$128,$F20)="Adelanto"," · Adelanto para stock","")&amp;IF(AND(ISNUMBER(INDEX(Encargado!$D$9:$D$128,$F20)),ISNUMBER(INDEX(Encargado!$E$9:$E$128,$F20))),CHAR(10)&amp;TEXT(INDEX(Encargado!$D$9:$D$128,$F20),"dd/mm")&amp;" al "&amp;TEXT(INDEX(Encargado!$E$9:$E$128,$F20),"dd/mm"),""))</f>
        <v/>
      </c>
      <c r="C20" s="51" t="str">
        <f>IF($F20=0,"",ROUND(INDEX(Encargado!$J$9:$J$128,$F20),3)&amp;" "&amp;INDEX(Encargado!$F$9:$F$128,$F20))</f>
        <v/>
      </c>
      <c r="D20" s="52" t="str">
        <f>IF($F20=0,"",IF(INDEX(Encargado!$L$9:$L$128,$F20)="Adelanto","Prev. "&amp;TEXT(INDEX(Encargado!$C$9:$C$128,$F20),"dd/mm"),INDEX(Encargado!$C$9:$C$128,$F20)))</f>
        <v/>
      </c>
      <c r="E20" s="50" t="str">
        <f>IF($F20=0,"",INDEX(Encargado!$Y$9:$Y$128,$F20)&amp;CHAR(10)&amp;"Vto. previsto: "&amp;TEXT(INDEX(Encargado!$Q$9:$Q$128,$F20),"dd/mm/yy"))</f>
        <v/>
      </c>
      <c r="F20">
        <f>IFERROR(MATCH(13,Encargado!$V$9:$V$128,0),0)</f>
        <v>0</v>
      </c>
    </row>
    <row r="21" spans="1:6" ht="67" customHeight="1">
      <c r="A21" s="50" t="str">
        <f>IF($F21=0,"",INDEX(Encargado!$AL$9:$AL$128,$F21))</f>
        <v/>
      </c>
      <c r="B21" s="50" t="str">
        <f>IF($F21=0,"",INDEX(Encargado!$A$9:$A$128,$F21)&amp;IF(INDEX(Encargado!$L$9:$L$128,$F21)="Adelanto"," · Adelanto para stock","")&amp;IF(AND(ISNUMBER(INDEX(Encargado!$D$9:$D$128,$F21)),ISNUMBER(INDEX(Encargado!$E$9:$E$128,$F21))),CHAR(10)&amp;TEXT(INDEX(Encargado!$D$9:$D$128,$F21),"dd/mm")&amp;" al "&amp;TEXT(INDEX(Encargado!$E$9:$E$128,$F21),"dd/mm"),""))</f>
        <v/>
      </c>
      <c r="C21" s="51" t="str">
        <f>IF($F21=0,"",ROUND(INDEX(Encargado!$J$9:$J$128,$F21),3)&amp;" "&amp;INDEX(Encargado!$F$9:$F$128,$F21))</f>
        <v/>
      </c>
      <c r="D21" s="52" t="str">
        <f>IF($F21=0,"",IF(INDEX(Encargado!$L$9:$L$128,$F21)="Adelanto","Prev. "&amp;TEXT(INDEX(Encargado!$C$9:$C$128,$F21),"dd/mm"),INDEX(Encargado!$C$9:$C$128,$F21)))</f>
        <v/>
      </c>
      <c r="E21" s="50" t="str">
        <f>IF($F21=0,"",INDEX(Encargado!$Y$9:$Y$128,$F21)&amp;CHAR(10)&amp;"Vto. previsto: "&amp;TEXT(INDEX(Encargado!$Q$9:$Q$128,$F21),"dd/mm/yy"))</f>
        <v/>
      </c>
      <c r="F21">
        <f>IFERROR(MATCH(14,Encargado!$V$9:$V$128,0),0)</f>
        <v>0</v>
      </c>
    </row>
    <row r="22" spans="1:6" ht="67" customHeight="1">
      <c r="A22" s="50" t="str">
        <f>IF($F22=0,"",INDEX(Encargado!$AL$9:$AL$128,$F22))</f>
        <v/>
      </c>
      <c r="B22" s="50" t="str">
        <f>IF($F22=0,"",INDEX(Encargado!$A$9:$A$128,$F22)&amp;IF(INDEX(Encargado!$L$9:$L$128,$F22)="Adelanto"," · Adelanto para stock","")&amp;IF(AND(ISNUMBER(INDEX(Encargado!$D$9:$D$128,$F22)),ISNUMBER(INDEX(Encargado!$E$9:$E$128,$F22))),CHAR(10)&amp;TEXT(INDEX(Encargado!$D$9:$D$128,$F22),"dd/mm")&amp;" al "&amp;TEXT(INDEX(Encargado!$E$9:$E$128,$F22),"dd/mm"),""))</f>
        <v/>
      </c>
      <c r="C22" s="51" t="str">
        <f>IF($F22=0,"",ROUND(INDEX(Encargado!$J$9:$J$128,$F22),3)&amp;" "&amp;INDEX(Encargado!$F$9:$F$128,$F22))</f>
        <v/>
      </c>
      <c r="D22" s="52" t="str">
        <f>IF($F22=0,"",IF(INDEX(Encargado!$L$9:$L$128,$F22)="Adelanto","Prev. "&amp;TEXT(INDEX(Encargado!$C$9:$C$128,$F22),"dd/mm"),INDEX(Encargado!$C$9:$C$128,$F22)))</f>
        <v/>
      </c>
      <c r="E22" s="50" t="str">
        <f>IF($F22=0,"",INDEX(Encargado!$Y$9:$Y$128,$F22)&amp;CHAR(10)&amp;"Vto. previsto: "&amp;TEXT(INDEX(Encargado!$Q$9:$Q$128,$F22),"dd/mm/yy"))</f>
        <v/>
      </c>
      <c r="F22">
        <f>IFERROR(MATCH(15,Encargado!$V$9:$V$128,0),0)</f>
        <v>0</v>
      </c>
    </row>
    <row r="23" spans="1:6" ht="67" customHeight="1">
      <c r="A23" s="50" t="str">
        <f>IF($F23=0,"",INDEX(Encargado!$AL$9:$AL$128,$F23))</f>
        <v/>
      </c>
      <c r="B23" s="50" t="str">
        <f>IF($F23=0,"",INDEX(Encargado!$A$9:$A$128,$F23)&amp;IF(INDEX(Encargado!$L$9:$L$128,$F23)="Adelanto"," · Adelanto para stock","")&amp;IF(AND(ISNUMBER(INDEX(Encargado!$D$9:$D$128,$F23)),ISNUMBER(INDEX(Encargado!$E$9:$E$128,$F23))),CHAR(10)&amp;TEXT(INDEX(Encargado!$D$9:$D$128,$F23),"dd/mm")&amp;" al "&amp;TEXT(INDEX(Encargado!$E$9:$E$128,$F23),"dd/mm"),""))</f>
        <v/>
      </c>
      <c r="C23" s="51" t="str">
        <f>IF($F23=0,"",ROUND(INDEX(Encargado!$J$9:$J$128,$F23),3)&amp;" "&amp;INDEX(Encargado!$F$9:$F$128,$F23))</f>
        <v/>
      </c>
      <c r="D23" s="52" t="str">
        <f>IF($F23=0,"",IF(INDEX(Encargado!$L$9:$L$128,$F23)="Adelanto","Prev. "&amp;TEXT(INDEX(Encargado!$C$9:$C$128,$F23),"dd/mm"),INDEX(Encargado!$C$9:$C$128,$F23)))</f>
        <v/>
      </c>
      <c r="E23" s="50" t="str">
        <f>IF($F23=0,"",INDEX(Encargado!$Y$9:$Y$128,$F23)&amp;CHAR(10)&amp;"Vto. previsto: "&amp;TEXT(INDEX(Encargado!$Q$9:$Q$128,$F23),"dd/mm/yy"))</f>
        <v/>
      </c>
      <c r="F23">
        <f>IFERROR(MATCH(16,Encargado!$V$9:$V$128,0),0)</f>
        <v>0</v>
      </c>
    </row>
    <row r="24" spans="1:6" ht="67" customHeight="1">
      <c r="A24" s="50" t="str">
        <f>IF($F24=0,"",INDEX(Encargado!$AL$9:$AL$128,$F24))</f>
        <v/>
      </c>
      <c r="B24" s="50" t="str">
        <f>IF($F24=0,"",INDEX(Encargado!$A$9:$A$128,$F24)&amp;IF(INDEX(Encargado!$L$9:$L$128,$F24)="Adelanto"," · Adelanto para stock","")&amp;IF(AND(ISNUMBER(INDEX(Encargado!$D$9:$D$128,$F24)),ISNUMBER(INDEX(Encargado!$E$9:$E$128,$F24))),CHAR(10)&amp;TEXT(INDEX(Encargado!$D$9:$D$128,$F24),"dd/mm")&amp;" al "&amp;TEXT(INDEX(Encargado!$E$9:$E$128,$F24),"dd/mm"),""))</f>
        <v/>
      </c>
      <c r="C24" s="51" t="str">
        <f>IF($F24=0,"",ROUND(INDEX(Encargado!$J$9:$J$128,$F24),3)&amp;" "&amp;INDEX(Encargado!$F$9:$F$128,$F24))</f>
        <v/>
      </c>
      <c r="D24" s="52" t="str">
        <f>IF($F24=0,"",IF(INDEX(Encargado!$L$9:$L$128,$F24)="Adelanto","Prev. "&amp;TEXT(INDEX(Encargado!$C$9:$C$128,$F24),"dd/mm"),INDEX(Encargado!$C$9:$C$128,$F24)))</f>
        <v/>
      </c>
      <c r="E24" s="50" t="str">
        <f>IF($F24=0,"",INDEX(Encargado!$Y$9:$Y$128,$F24)&amp;CHAR(10)&amp;"Vto. previsto: "&amp;TEXT(INDEX(Encargado!$Q$9:$Q$128,$F24),"dd/mm/yy"))</f>
        <v/>
      </c>
      <c r="F24">
        <f>IFERROR(MATCH(17,Encargado!$V$9:$V$128,0),0)</f>
        <v>0</v>
      </c>
    </row>
    <row r="25" spans="1:6" ht="67" customHeight="1">
      <c r="A25" s="50" t="str">
        <f>IF($F25=0,"",INDEX(Encargado!$AL$9:$AL$128,$F25))</f>
        <v/>
      </c>
      <c r="B25" s="50" t="str">
        <f>IF($F25=0,"",INDEX(Encargado!$A$9:$A$128,$F25)&amp;IF(INDEX(Encargado!$L$9:$L$128,$F25)="Adelanto"," · Adelanto para stock","")&amp;IF(AND(ISNUMBER(INDEX(Encargado!$D$9:$D$128,$F25)),ISNUMBER(INDEX(Encargado!$E$9:$E$128,$F25))),CHAR(10)&amp;TEXT(INDEX(Encargado!$D$9:$D$128,$F25),"dd/mm")&amp;" al "&amp;TEXT(INDEX(Encargado!$E$9:$E$128,$F25),"dd/mm"),""))</f>
        <v/>
      </c>
      <c r="C25" s="51" t="str">
        <f>IF($F25=0,"",ROUND(INDEX(Encargado!$J$9:$J$128,$F25),3)&amp;" "&amp;INDEX(Encargado!$F$9:$F$128,$F25))</f>
        <v/>
      </c>
      <c r="D25" s="52" t="str">
        <f>IF($F25=0,"",IF(INDEX(Encargado!$L$9:$L$128,$F25)="Adelanto","Prev. "&amp;TEXT(INDEX(Encargado!$C$9:$C$128,$F25),"dd/mm"),INDEX(Encargado!$C$9:$C$128,$F25)))</f>
        <v/>
      </c>
      <c r="E25" s="50" t="str">
        <f>IF($F25=0,"",INDEX(Encargado!$Y$9:$Y$128,$F25)&amp;CHAR(10)&amp;"Vto. previsto: "&amp;TEXT(INDEX(Encargado!$Q$9:$Q$128,$F25),"dd/mm/yy"))</f>
        <v/>
      </c>
      <c r="F25">
        <f>IFERROR(MATCH(18,Encargado!$V$9:$V$128,0),0)</f>
        <v>0</v>
      </c>
    </row>
    <row r="26" spans="1:6" ht="67" customHeight="1">
      <c r="A26" s="50" t="str">
        <f>IF($F26=0,"",INDEX(Encargado!$AL$9:$AL$128,$F26))</f>
        <v/>
      </c>
      <c r="B26" s="50" t="str">
        <f>IF($F26=0,"",INDEX(Encargado!$A$9:$A$128,$F26)&amp;IF(INDEX(Encargado!$L$9:$L$128,$F26)="Adelanto"," · Adelanto para stock","")&amp;IF(AND(ISNUMBER(INDEX(Encargado!$D$9:$D$128,$F26)),ISNUMBER(INDEX(Encargado!$E$9:$E$128,$F26))),CHAR(10)&amp;TEXT(INDEX(Encargado!$D$9:$D$128,$F26),"dd/mm")&amp;" al "&amp;TEXT(INDEX(Encargado!$E$9:$E$128,$F26),"dd/mm"),""))</f>
        <v/>
      </c>
      <c r="C26" s="51" t="str">
        <f>IF($F26=0,"",ROUND(INDEX(Encargado!$J$9:$J$128,$F26),3)&amp;" "&amp;INDEX(Encargado!$F$9:$F$128,$F26))</f>
        <v/>
      </c>
      <c r="D26" s="52" t="str">
        <f>IF($F26=0,"",IF(INDEX(Encargado!$L$9:$L$128,$F26)="Adelanto","Prev. "&amp;TEXT(INDEX(Encargado!$C$9:$C$128,$F26),"dd/mm"),INDEX(Encargado!$C$9:$C$128,$F26)))</f>
        <v/>
      </c>
      <c r="E26" s="50" t="str">
        <f>IF($F26=0,"",INDEX(Encargado!$Y$9:$Y$128,$F26)&amp;CHAR(10)&amp;"Vto. previsto: "&amp;TEXT(INDEX(Encargado!$Q$9:$Q$128,$F26),"dd/mm/yy"))</f>
        <v/>
      </c>
      <c r="F26">
        <f>IFERROR(MATCH(19,Encargado!$V$9:$V$128,0),0)</f>
        <v>0</v>
      </c>
    </row>
    <row r="27" spans="1:6" ht="67" customHeight="1">
      <c r="A27" s="50" t="str">
        <f>IF($F27=0,"",INDEX(Encargado!$AL$9:$AL$128,$F27))</f>
        <v/>
      </c>
      <c r="B27" s="50" t="str">
        <f>IF($F27=0,"",INDEX(Encargado!$A$9:$A$128,$F27)&amp;IF(INDEX(Encargado!$L$9:$L$128,$F27)="Adelanto"," · Adelanto para stock","")&amp;IF(AND(ISNUMBER(INDEX(Encargado!$D$9:$D$128,$F27)),ISNUMBER(INDEX(Encargado!$E$9:$E$128,$F27))),CHAR(10)&amp;TEXT(INDEX(Encargado!$D$9:$D$128,$F27),"dd/mm")&amp;" al "&amp;TEXT(INDEX(Encargado!$E$9:$E$128,$F27),"dd/mm"),""))</f>
        <v/>
      </c>
      <c r="C27" s="51" t="str">
        <f>IF($F27=0,"",ROUND(INDEX(Encargado!$J$9:$J$128,$F27),3)&amp;" "&amp;INDEX(Encargado!$F$9:$F$128,$F27))</f>
        <v/>
      </c>
      <c r="D27" s="52" t="str">
        <f>IF($F27=0,"",IF(INDEX(Encargado!$L$9:$L$128,$F27)="Adelanto","Prev. "&amp;TEXT(INDEX(Encargado!$C$9:$C$128,$F27),"dd/mm"),INDEX(Encargado!$C$9:$C$128,$F27)))</f>
        <v/>
      </c>
      <c r="E27" s="50" t="str">
        <f>IF($F27=0,"",INDEX(Encargado!$Y$9:$Y$128,$F27)&amp;CHAR(10)&amp;"Vto. previsto: "&amp;TEXT(INDEX(Encargado!$Q$9:$Q$128,$F27),"dd/mm/yy"))</f>
        <v/>
      </c>
      <c r="F27">
        <f>IFERROR(MATCH(20,Encargado!$V$9:$V$128,0),0)</f>
        <v>0</v>
      </c>
    </row>
    <row r="28" spans="1:6" ht="67" customHeight="1">
      <c r="A28" s="50" t="str">
        <f>IF($F28=0,"",INDEX(Encargado!$AL$9:$AL$128,$F28))</f>
        <v/>
      </c>
      <c r="B28" s="50" t="str">
        <f>IF($F28=0,"",INDEX(Encargado!$A$9:$A$128,$F28)&amp;IF(INDEX(Encargado!$L$9:$L$128,$F28)="Adelanto"," · Adelanto para stock","")&amp;IF(AND(ISNUMBER(INDEX(Encargado!$D$9:$D$128,$F28)),ISNUMBER(INDEX(Encargado!$E$9:$E$128,$F28))),CHAR(10)&amp;TEXT(INDEX(Encargado!$D$9:$D$128,$F28),"dd/mm")&amp;" al "&amp;TEXT(INDEX(Encargado!$E$9:$E$128,$F28),"dd/mm"),""))</f>
        <v/>
      </c>
      <c r="C28" s="51" t="str">
        <f>IF($F28=0,"",ROUND(INDEX(Encargado!$J$9:$J$128,$F28),3)&amp;" "&amp;INDEX(Encargado!$F$9:$F$128,$F28))</f>
        <v/>
      </c>
      <c r="D28" s="52" t="str">
        <f>IF($F28=0,"",IF(INDEX(Encargado!$L$9:$L$128,$F28)="Adelanto","Prev. "&amp;TEXT(INDEX(Encargado!$C$9:$C$128,$F28),"dd/mm"),INDEX(Encargado!$C$9:$C$128,$F28)))</f>
        <v/>
      </c>
      <c r="E28" s="50" t="str">
        <f>IF($F28=0,"",INDEX(Encargado!$Y$9:$Y$128,$F28)&amp;CHAR(10)&amp;"Vto. previsto: "&amp;TEXT(INDEX(Encargado!$Q$9:$Q$128,$F28),"dd/mm/yy"))</f>
        <v/>
      </c>
      <c r="F28">
        <f>IFERROR(MATCH(21,Encargado!$V$9:$V$128,0),0)</f>
        <v>0</v>
      </c>
    </row>
    <row r="29" spans="1:6" ht="67" customHeight="1">
      <c r="A29" s="50" t="str">
        <f>IF($F29=0,"",INDEX(Encargado!$AL$9:$AL$128,$F29))</f>
        <v/>
      </c>
      <c r="B29" s="50" t="str">
        <f>IF($F29=0,"",INDEX(Encargado!$A$9:$A$128,$F29)&amp;IF(INDEX(Encargado!$L$9:$L$128,$F29)="Adelanto"," · Adelanto para stock","")&amp;IF(AND(ISNUMBER(INDEX(Encargado!$D$9:$D$128,$F29)),ISNUMBER(INDEX(Encargado!$E$9:$E$128,$F29))),CHAR(10)&amp;TEXT(INDEX(Encargado!$D$9:$D$128,$F29),"dd/mm")&amp;" al "&amp;TEXT(INDEX(Encargado!$E$9:$E$128,$F29),"dd/mm"),""))</f>
        <v/>
      </c>
      <c r="C29" s="51" t="str">
        <f>IF($F29=0,"",ROUND(INDEX(Encargado!$J$9:$J$128,$F29),3)&amp;" "&amp;INDEX(Encargado!$F$9:$F$128,$F29))</f>
        <v/>
      </c>
      <c r="D29" s="52" t="str">
        <f>IF($F29=0,"",IF(INDEX(Encargado!$L$9:$L$128,$F29)="Adelanto","Prev. "&amp;TEXT(INDEX(Encargado!$C$9:$C$128,$F29),"dd/mm"),INDEX(Encargado!$C$9:$C$128,$F29)))</f>
        <v/>
      </c>
      <c r="E29" s="50" t="str">
        <f>IF($F29=0,"",INDEX(Encargado!$Y$9:$Y$128,$F29)&amp;CHAR(10)&amp;"Vto. previsto: "&amp;TEXT(INDEX(Encargado!$Q$9:$Q$128,$F29),"dd/mm/yy"))</f>
        <v/>
      </c>
      <c r="F29">
        <f>IFERROR(MATCH(22,Encargado!$V$9:$V$128,0),0)</f>
        <v>0</v>
      </c>
    </row>
    <row r="30" spans="1:6" ht="67" customHeight="1">
      <c r="A30" s="50" t="str">
        <f>IF($F30=0,"",INDEX(Encargado!$AL$9:$AL$128,$F30))</f>
        <v/>
      </c>
      <c r="B30" s="50" t="str">
        <f>IF($F30=0,"",INDEX(Encargado!$A$9:$A$128,$F30)&amp;IF(INDEX(Encargado!$L$9:$L$128,$F30)="Adelanto"," · Adelanto para stock","")&amp;IF(AND(ISNUMBER(INDEX(Encargado!$D$9:$D$128,$F30)),ISNUMBER(INDEX(Encargado!$E$9:$E$128,$F30))),CHAR(10)&amp;TEXT(INDEX(Encargado!$D$9:$D$128,$F30),"dd/mm")&amp;" al "&amp;TEXT(INDEX(Encargado!$E$9:$E$128,$F30),"dd/mm"),""))</f>
        <v/>
      </c>
      <c r="C30" s="51" t="str">
        <f>IF($F30=0,"",ROUND(INDEX(Encargado!$J$9:$J$128,$F30),3)&amp;" "&amp;INDEX(Encargado!$F$9:$F$128,$F30))</f>
        <v/>
      </c>
      <c r="D30" s="52" t="str">
        <f>IF($F30=0,"",IF(INDEX(Encargado!$L$9:$L$128,$F30)="Adelanto","Prev. "&amp;TEXT(INDEX(Encargado!$C$9:$C$128,$F30),"dd/mm"),INDEX(Encargado!$C$9:$C$128,$F30)))</f>
        <v/>
      </c>
      <c r="E30" s="50" t="str">
        <f>IF($F30=0,"",INDEX(Encargado!$Y$9:$Y$128,$F30)&amp;CHAR(10)&amp;"Vto. previsto: "&amp;TEXT(INDEX(Encargado!$Q$9:$Q$128,$F30),"dd/mm/yy"))</f>
        <v/>
      </c>
      <c r="F30">
        <f>IFERROR(MATCH(23,Encargado!$V$9:$V$128,0),0)</f>
        <v>0</v>
      </c>
    </row>
    <row r="31" spans="1:6" ht="67" customHeight="1">
      <c r="A31" s="50" t="str">
        <f>IF($F31=0,"",INDEX(Encargado!$AL$9:$AL$128,$F31))</f>
        <v/>
      </c>
      <c r="B31" s="50" t="str">
        <f>IF($F31=0,"",INDEX(Encargado!$A$9:$A$128,$F31)&amp;IF(INDEX(Encargado!$L$9:$L$128,$F31)="Adelanto"," · Adelanto para stock","")&amp;IF(AND(ISNUMBER(INDEX(Encargado!$D$9:$D$128,$F31)),ISNUMBER(INDEX(Encargado!$E$9:$E$128,$F31))),CHAR(10)&amp;TEXT(INDEX(Encargado!$D$9:$D$128,$F31),"dd/mm")&amp;" al "&amp;TEXT(INDEX(Encargado!$E$9:$E$128,$F31),"dd/mm"),""))</f>
        <v/>
      </c>
      <c r="C31" s="51" t="str">
        <f>IF($F31=0,"",ROUND(INDEX(Encargado!$J$9:$J$128,$F31),3)&amp;" "&amp;INDEX(Encargado!$F$9:$F$128,$F31))</f>
        <v/>
      </c>
      <c r="D31" s="52" t="str">
        <f>IF($F31=0,"",IF(INDEX(Encargado!$L$9:$L$128,$F31)="Adelanto","Prev. "&amp;TEXT(INDEX(Encargado!$C$9:$C$128,$F31),"dd/mm"),INDEX(Encargado!$C$9:$C$128,$F31)))</f>
        <v/>
      </c>
      <c r="E31" s="50" t="str">
        <f>IF($F31=0,"",INDEX(Encargado!$Y$9:$Y$128,$F31)&amp;CHAR(10)&amp;"Vto. previsto: "&amp;TEXT(INDEX(Encargado!$Q$9:$Q$128,$F31),"dd/mm/yy"))</f>
        <v/>
      </c>
      <c r="F31">
        <f>IFERROR(MATCH(24,Encargado!$V$9:$V$128,0),0)</f>
        <v>0</v>
      </c>
    </row>
    <row r="32" spans="1:6" ht="67" customHeight="1">
      <c r="A32" s="50" t="str">
        <f>IF($F32=0,"",INDEX(Encargado!$AL$9:$AL$128,$F32))</f>
        <v/>
      </c>
      <c r="B32" s="50" t="str">
        <f>IF($F32=0,"",INDEX(Encargado!$A$9:$A$128,$F32)&amp;IF(INDEX(Encargado!$L$9:$L$128,$F32)="Adelanto"," · Adelanto para stock","")&amp;IF(AND(ISNUMBER(INDEX(Encargado!$D$9:$D$128,$F32)),ISNUMBER(INDEX(Encargado!$E$9:$E$128,$F32))),CHAR(10)&amp;TEXT(INDEX(Encargado!$D$9:$D$128,$F32),"dd/mm")&amp;" al "&amp;TEXT(INDEX(Encargado!$E$9:$E$128,$F32),"dd/mm"),""))</f>
        <v/>
      </c>
      <c r="C32" s="51" t="str">
        <f>IF($F32=0,"",ROUND(INDEX(Encargado!$J$9:$J$128,$F32),3)&amp;" "&amp;INDEX(Encargado!$F$9:$F$128,$F32))</f>
        <v/>
      </c>
      <c r="D32" s="52" t="str">
        <f>IF($F32=0,"",IF(INDEX(Encargado!$L$9:$L$128,$F32)="Adelanto","Prev. "&amp;TEXT(INDEX(Encargado!$C$9:$C$128,$F32),"dd/mm"),INDEX(Encargado!$C$9:$C$128,$F32)))</f>
        <v/>
      </c>
      <c r="E32" s="50" t="str">
        <f>IF($F32=0,"",INDEX(Encargado!$Y$9:$Y$128,$F32)&amp;CHAR(10)&amp;"Vto. previsto: "&amp;TEXT(INDEX(Encargado!$Q$9:$Q$128,$F32),"dd/mm/yy"))</f>
        <v/>
      </c>
      <c r="F32">
        <f>IFERROR(MATCH(25,Encargado!$V$9:$V$128,0),0)</f>
        <v>0</v>
      </c>
    </row>
    <row r="33" spans="1:6" ht="67" customHeight="1">
      <c r="A33" s="50" t="str">
        <f>IF($F33=0,"",INDEX(Encargado!$AL$9:$AL$128,$F33))</f>
        <v/>
      </c>
      <c r="B33" s="50" t="str">
        <f>IF($F33=0,"",INDEX(Encargado!$A$9:$A$128,$F33)&amp;IF(INDEX(Encargado!$L$9:$L$128,$F33)="Adelanto"," · Adelanto para stock","")&amp;IF(AND(ISNUMBER(INDEX(Encargado!$D$9:$D$128,$F33)),ISNUMBER(INDEX(Encargado!$E$9:$E$128,$F33))),CHAR(10)&amp;TEXT(INDEX(Encargado!$D$9:$D$128,$F33),"dd/mm")&amp;" al "&amp;TEXT(INDEX(Encargado!$E$9:$E$128,$F33),"dd/mm"),""))</f>
        <v/>
      </c>
      <c r="C33" s="51" t="str">
        <f>IF($F33=0,"",ROUND(INDEX(Encargado!$J$9:$J$128,$F33),3)&amp;" "&amp;INDEX(Encargado!$F$9:$F$128,$F33))</f>
        <v/>
      </c>
      <c r="D33" s="52" t="str">
        <f>IF($F33=0,"",IF(INDEX(Encargado!$L$9:$L$128,$F33)="Adelanto","Prev. "&amp;TEXT(INDEX(Encargado!$C$9:$C$128,$F33),"dd/mm"),INDEX(Encargado!$C$9:$C$128,$F33)))</f>
        <v/>
      </c>
      <c r="E33" s="50" t="str">
        <f>IF($F33=0,"",INDEX(Encargado!$Y$9:$Y$128,$F33)&amp;CHAR(10)&amp;"Vto. previsto: "&amp;TEXT(INDEX(Encargado!$Q$9:$Q$128,$F33),"dd/mm/yy"))</f>
        <v/>
      </c>
      <c r="F33">
        <f>IFERROR(MATCH(26,Encargado!$V$9:$V$128,0),0)</f>
        <v>0</v>
      </c>
    </row>
    <row r="34" spans="1:6" ht="67" customHeight="1">
      <c r="A34" s="50" t="str">
        <f>IF($F34=0,"",INDEX(Encargado!$AL$9:$AL$128,$F34))</f>
        <v/>
      </c>
      <c r="B34" s="50" t="str">
        <f>IF($F34=0,"",INDEX(Encargado!$A$9:$A$128,$F34)&amp;IF(INDEX(Encargado!$L$9:$L$128,$F34)="Adelanto"," · Adelanto para stock","")&amp;IF(AND(ISNUMBER(INDEX(Encargado!$D$9:$D$128,$F34)),ISNUMBER(INDEX(Encargado!$E$9:$E$128,$F34))),CHAR(10)&amp;TEXT(INDEX(Encargado!$D$9:$D$128,$F34),"dd/mm")&amp;" al "&amp;TEXT(INDEX(Encargado!$E$9:$E$128,$F34),"dd/mm"),""))</f>
        <v/>
      </c>
      <c r="C34" s="51" t="str">
        <f>IF($F34=0,"",ROUND(INDEX(Encargado!$J$9:$J$128,$F34),3)&amp;" "&amp;INDEX(Encargado!$F$9:$F$128,$F34))</f>
        <v/>
      </c>
      <c r="D34" s="52" t="str">
        <f>IF($F34=0,"",IF(INDEX(Encargado!$L$9:$L$128,$F34)="Adelanto","Prev. "&amp;TEXT(INDEX(Encargado!$C$9:$C$128,$F34),"dd/mm"),INDEX(Encargado!$C$9:$C$128,$F34)))</f>
        <v/>
      </c>
      <c r="E34" s="50" t="str">
        <f>IF($F34=0,"",INDEX(Encargado!$Y$9:$Y$128,$F34)&amp;CHAR(10)&amp;"Vto. previsto: "&amp;TEXT(INDEX(Encargado!$Q$9:$Q$128,$F34),"dd/mm/yy"))</f>
        <v/>
      </c>
      <c r="F34">
        <f>IFERROR(MATCH(27,Encargado!$V$9:$V$128,0),0)</f>
        <v>0</v>
      </c>
    </row>
    <row r="35" spans="1:6" ht="67" customHeight="1">
      <c r="A35" s="50" t="str">
        <f>IF($F35=0,"",INDEX(Encargado!$AL$9:$AL$128,$F35))</f>
        <v/>
      </c>
      <c r="B35" s="50" t="str">
        <f>IF($F35=0,"",INDEX(Encargado!$A$9:$A$128,$F35)&amp;IF(INDEX(Encargado!$L$9:$L$128,$F35)="Adelanto"," · Adelanto para stock","")&amp;IF(AND(ISNUMBER(INDEX(Encargado!$D$9:$D$128,$F35)),ISNUMBER(INDEX(Encargado!$E$9:$E$128,$F35))),CHAR(10)&amp;TEXT(INDEX(Encargado!$D$9:$D$128,$F35),"dd/mm")&amp;" al "&amp;TEXT(INDEX(Encargado!$E$9:$E$128,$F35),"dd/mm"),""))</f>
        <v/>
      </c>
      <c r="C35" s="51" t="str">
        <f>IF($F35=0,"",ROUND(INDEX(Encargado!$J$9:$J$128,$F35),3)&amp;" "&amp;INDEX(Encargado!$F$9:$F$128,$F35))</f>
        <v/>
      </c>
      <c r="D35" s="52" t="str">
        <f>IF($F35=0,"",IF(INDEX(Encargado!$L$9:$L$128,$F35)="Adelanto","Prev. "&amp;TEXT(INDEX(Encargado!$C$9:$C$128,$F35),"dd/mm"),INDEX(Encargado!$C$9:$C$128,$F35)))</f>
        <v/>
      </c>
      <c r="E35" s="50" t="str">
        <f>IF($F35=0,"",INDEX(Encargado!$Y$9:$Y$128,$F35)&amp;CHAR(10)&amp;"Vto. previsto: "&amp;TEXT(INDEX(Encargado!$Q$9:$Q$128,$F35),"dd/mm/yy"))</f>
        <v/>
      </c>
      <c r="F35">
        <f>IFERROR(MATCH(28,Encargado!$V$9:$V$128,0),0)</f>
        <v>0</v>
      </c>
    </row>
    <row r="36" spans="1:6" ht="67" customHeight="1">
      <c r="A36" s="50" t="str">
        <f>IF($F36=0,"",INDEX(Encargado!$AL$9:$AL$128,$F36))</f>
        <v/>
      </c>
      <c r="B36" s="50" t="str">
        <f>IF($F36=0,"",INDEX(Encargado!$A$9:$A$128,$F36)&amp;IF(INDEX(Encargado!$L$9:$L$128,$F36)="Adelanto"," · Adelanto para stock","")&amp;IF(AND(ISNUMBER(INDEX(Encargado!$D$9:$D$128,$F36)),ISNUMBER(INDEX(Encargado!$E$9:$E$128,$F36))),CHAR(10)&amp;TEXT(INDEX(Encargado!$D$9:$D$128,$F36),"dd/mm")&amp;" al "&amp;TEXT(INDEX(Encargado!$E$9:$E$128,$F36),"dd/mm"),""))</f>
        <v/>
      </c>
      <c r="C36" s="51" t="str">
        <f>IF($F36=0,"",ROUND(INDEX(Encargado!$J$9:$J$128,$F36),3)&amp;" "&amp;INDEX(Encargado!$F$9:$F$128,$F36))</f>
        <v/>
      </c>
      <c r="D36" s="52" t="str">
        <f>IF($F36=0,"",IF(INDEX(Encargado!$L$9:$L$128,$F36)="Adelanto","Prev. "&amp;TEXT(INDEX(Encargado!$C$9:$C$128,$F36),"dd/mm"),INDEX(Encargado!$C$9:$C$128,$F36)))</f>
        <v/>
      </c>
      <c r="E36" s="50" t="str">
        <f>IF($F36=0,"",INDEX(Encargado!$Y$9:$Y$128,$F36)&amp;CHAR(10)&amp;"Vto. previsto: "&amp;TEXT(INDEX(Encargado!$Q$9:$Q$128,$F36),"dd/mm/yy"))</f>
        <v/>
      </c>
      <c r="F36">
        <f>IFERROR(MATCH(29,Encargado!$V$9:$V$128,0),0)</f>
        <v>0</v>
      </c>
    </row>
    <row r="37" spans="1:6" ht="67" customHeight="1">
      <c r="A37" s="50" t="str">
        <f>IF($F37=0,"",INDEX(Encargado!$AL$9:$AL$128,$F37))</f>
        <v/>
      </c>
      <c r="B37" s="50" t="str">
        <f>IF($F37=0,"",INDEX(Encargado!$A$9:$A$128,$F37)&amp;IF(INDEX(Encargado!$L$9:$L$128,$F37)="Adelanto"," · Adelanto para stock","")&amp;IF(AND(ISNUMBER(INDEX(Encargado!$D$9:$D$128,$F37)),ISNUMBER(INDEX(Encargado!$E$9:$E$128,$F37))),CHAR(10)&amp;TEXT(INDEX(Encargado!$D$9:$D$128,$F37),"dd/mm")&amp;" al "&amp;TEXT(INDEX(Encargado!$E$9:$E$128,$F37),"dd/mm"),""))</f>
        <v/>
      </c>
      <c r="C37" s="51" t="str">
        <f>IF($F37=0,"",ROUND(INDEX(Encargado!$J$9:$J$128,$F37),3)&amp;" "&amp;INDEX(Encargado!$F$9:$F$128,$F37))</f>
        <v/>
      </c>
      <c r="D37" s="52" t="str">
        <f>IF($F37=0,"",IF(INDEX(Encargado!$L$9:$L$128,$F37)="Adelanto","Prev. "&amp;TEXT(INDEX(Encargado!$C$9:$C$128,$F37),"dd/mm"),INDEX(Encargado!$C$9:$C$128,$F37)))</f>
        <v/>
      </c>
      <c r="E37" s="50" t="str">
        <f>IF($F37=0,"",INDEX(Encargado!$Y$9:$Y$128,$F37)&amp;CHAR(10)&amp;"Vto. previsto: "&amp;TEXT(INDEX(Encargado!$Q$9:$Q$128,$F37),"dd/mm/yy"))</f>
        <v/>
      </c>
      <c r="F37">
        <f>IFERROR(MATCH(30,Encargado!$V$9:$V$128,0),0)</f>
        <v>0</v>
      </c>
    </row>
    <row r="38" spans="1:6" ht="67" customHeight="1">
      <c r="A38" s="50" t="str">
        <f>IF($F38=0,"",INDEX(Encargado!$AL$9:$AL$128,$F38))</f>
        <v/>
      </c>
      <c r="B38" s="50" t="str">
        <f>IF($F38=0,"",INDEX(Encargado!$A$9:$A$128,$F38)&amp;IF(INDEX(Encargado!$L$9:$L$128,$F38)="Adelanto"," · Adelanto para stock","")&amp;IF(AND(ISNUMBER(INDEX(Encargado!$D$9:$D$128,$F38)),ISNUMBER(INDEX(Encargado!$E$9:$E$128,$F38))),CHAR(10)&amp;TEXT(INDEX(Encargado!$D$9:$D$128,$F38),"dd/mm")&amp;" al "&amp;TEXT(INDEX(Encargado!$E$9:$E$128,$F38),"dd/mm"),""))</f>
        <v/>
      </c>
      <c r="C38" s="51" t="str">
        <f>IF($F38=0,"",ROUND(INDEX(Encargado!$J$9:$J$128,$F38),3)&amp;" "&amp;INDEX(Encargado!$F$9:$F$128,$F38))</f>
        <v/>
      </c>
      <c r="D38" s="52" t="str">
        <f>IF($F38=0,"",IF(INDEX(Encargado!$L$9:$L$128,$F38)="Adelanto","Prev. "&amp;TEXT(INDEX(Encargado!$C$9:$C$128,$F38),"dd/mm"),INDEX(Encargado!$C$9:$C$128,$F38)))</f>
        <v/>
      </c>
      <c r="E38" s="50" t="str">
        <f>IF($F38=0,"",INDEX(Encargado!$Y$9:$Y$128,$F38)&amp;CHAR(10)&amp;"Vto. previsto: "&amp;TEXT(INDEX(Encargado!$Q$9:$Q$128,$F38),"dd/mm/yy"))</f>
        <v/>
      </c>
      <c r="F38">
        <f>IFERROR(MATCH(31,Encargado!$V$9:$V$128,0),0)</f>
        <v>0</v>
      </c>
    </row>
    <row r="39" spans="1:6" ht="67" customHeight="1">
      <c r="A39" s="50" t="str">
        <f>IF($F39=0,"",INDEX(Encargado!$AL$9:$AL$128,$F39))</f>
        <v/>
      </c>
      <c r="B39" s="50" t="str">
        <f>IF($F39=0,"",INDEX(Encargado!$A$9:$A$128,$F39)&amp;IF(INDEX(Encargado!$L$9:$L$128,$F39)="Adelanto"," · Adelanto para stock","")&amp;IF(AND(ISNUMBER(INDEX(Encargado!$D$9:$D$128,$F39)),ISNUMBER(INDEX(Encargado!$E$9:$E$128,$F39))),CHAR(10)&amp;TEXT(INDEX(Encargado!$D$9:$D$128,$F39),"dd/mm")&amp;" al "&amp;TEXT(INDEX(Encargado!$E$9:$E$128,$F39),"dd/mm"),""))</f>
        <v/>
      </c>
      <c r="C39" s="51" t="str">
        <f>IF($F39=0,"",ROUND(INDEX(Encargado!$J$9:$J$128,$F39),3)&amp;" "&amp;INDEX(Encargado!$F$9:$F$128,$F39))</f>
        <v/>
      </c>
      <c r="D39" s="52" t="str">
        <f>IF($F39=0,"",IF(INDEX(Encargado!$L$9:$L$128,$F39)="Adelanto","Prev. "&amp;TEXT(INDEX(Encargado!$C$9:$C$128,$F39),"dd/mm"),INDEX(Encargado!$C$9:$C$128,$F39)))</f>
        <v/>
      </c>
      <c r="E39" s="50" t="str">
        <f>IF($F39=0,"",INDEX(Encargado!$Y$9:$Y$128,$F39)&amp;CHAR(10)&amp;"Vto. previsto: "&amp;TEXT(INDEX(Encargado!$Q$9:$Q$128,$F39),"dd/mm/yy"))</f>
        <v/>
      </c>
      <c r="F39">
        <f>IFERROR(MATCH(32,Encargado!$V$9:$V$128,0),0)</f>
        <v>0</v>
      </c>
    </row>
    <row r="40" spans="1:6" ht="67" customHeight="1">
      <c r="A40" s="50" t="str">
        <f>IF($F40=0,"",INDEX(Encargado!$AL$9:$AL$128,$F40))</f>
        <v/>
      </c>
      <c r="B40" s="50" t="str">
        <f>IF($F40=0,"",INDEX(Encargado!$A$9:$A$128,$F40)&amp;IF(INDEX(Encargado!$L$9:$L$128,$F40)="Adelanto"," · Adelanto para stock","")&amp;IF(AND(ISNUMBER(INDEX(Encargado!$D$9:$D$128,$F40)),ISNUMBER(INDEX(Encargado!$E$9:$E$128,$F40))),CHAR(10)&amp;TEXT(INDEX(Encargado!$D$9:$D$128,$F40),"dd/mm")&amp;" al "&amp;TEXT(INDEX(Encargado!$E$9:$E$128,$F40),"dd/mm"),""))</f>
        <v/>
      </c>
      <c r="C40" s="51" t="str">
        <f>IF($F40=0,"",ROUND(INDEX(Encargado!$J$9:$J$128,$F40),3)&amp;" "&amp;INDEX(Encargado!$F$9:$F$128,$F40))</f>
        <v/>
      </c>
      <c r="D40" s="52" t="str">
        <f>IF($F40=0,"",IF(INDEX(Encargado!$L$9:$L$128,$F40)="Adelanto","Prev. "&amp;TEXT(INDEX(Encargado!$C$9:$C$128,$F40),"dd/mm"),INDEX(Encargado!$C$9:$C$128,$F40)))</f>
        <v/>
      </c>
      <c r="E40" s="50" t="str">
        <f>IF($F40=0,"",INDEX(Encargado!$Y$9:$Y$128,$F40)&amp;CHAR(10)&amp;"Vto. previsto: "&amp;TEXT(INDEX(Encargado!$Q$9:$Q$128,$F40),"dd/mm/yy"))</f>
        <v/>
      </c>
      <c r="F40">
        <f>IFERROR(MATCH(33,Encargado!$V$9:$V$128,0),0)</f>
        <v>0</v>
      </c>
    </row>
    <row r="41" spans="1:6" ht="67" customHeight="1">
      <c r="A41" s="50" t="str">
        <f>IF($F41=0,"",INDEX(Encargado!$AL$9:$AL$128,$F41))</f>
        <v/>
      </c>
      <c r="B41" s="50" t="str">
        <f>IF($F41=0,"",INDEX(Encargado!$A$9:$A$128,$F41)&amp;IF(INDEX(Encargado!$L$9:$L$128,$F41)="Adelanto"," · Adelanto para stock","")&amp;IF(AND(ISNUMBER(INDEX(Encargado!$D$9:$D$128,$F41)),ISNUMBER(INDEX(Encargado!$E$9:$E$128,$F41))),CHAR(10)&amp;TEXT(INDEX(Encargado!$D$9:$D$128,$F41),"dd/mm")&amp;" al "&amp;TEXT(INDEX(Encargado!$E$9:$E$128,$F41),"dd/mm"),""))</f>
        <v/>
      </c>
      <c r="C41" s="51" t="str">
        <f>IF($F41=0,"",ROUND(INDEX(Encargado!$J$9:$J$128,$F41),3)&amp;" "&amp;INDEX(Encargado!$F$9:$F$128,$F41))</f>
        <v/>
      </c>
      <c r="D41" s="52" t="str">
        <f>IF($F41=0,"",IF(INDEX(Encargado!$L$9:$L$128,$F41)="Adelanto","Prev. "&amp;TEXT(INDEX(Encargado!$C$9:$C$128,$F41),"dd/mm"),INDEX(Encargado!$C$9:$C$128,$F41)))</f>
        <v/>
      </c>
      <c r="E41" s="50" t="str">
        <f>IF($F41=0,"",INDEX(Encargado!$Y$9:$Y$128,$F41)&amp;CHAR(10)&amp;"Vto. previsto: "&amp;TEXT(INDEX(Encargado!$Q$9:$Q$128,$F41),"dd/mm/yy"))</f>
        <v/>
      </c>
      <c r="F41">
        <f>IFERROR(MATCH(34,Encargado!$V$9:$V$128,0),0)</f>
        <v>0</v>
      </c>
    </row>
    <row r="42" spans="1:6" ht="67" customHeight="1">
      <c r="A42" s="50" t="str">
        <f>IF($F42=0,"",INDEX(Encargado!$AL$9:$AL$128,$F42))</f>
        <v/>
      </c>
      <c r="B42" s="50" t="str">
        <f>IF($F42=0,"",INDEX(Encargado!$A$9:$A$128,$F42)&amp;IF(INDEX(Encargado!$L$9:$L$128,$F42)="Adelanto"," · Adelanto para stock","")&amp;IF(AND(ISNUMBER(INDEX(Encargado!$D$9:$D$128,$F42)),ISNUMBER(INDEX(Encargado!$E$9:$E$128,$F42))),CHAR(10)&amp;TEXT(INDEX(Encargado!$D$9:$D$128,$F42),"dd/mm")&amp;" al "&amp;TEXT(INDEX(Encargado!$E$9:$E$128,$F42),"dd/mm"),""))</f>
        <v/>
      </c>
      <c r="C42" s="51" t="str">
        <f>IF($F42=0,"",ROUND(INDEX(Encargado!$J$9:$J$128,$F42),3)&amp;" "&amp;INDEX(Encargado!$F$9:$F$128,$F42))</f>
        <v/>
      </c>
      <c r="D42" s="52" t="str">
        <f>IF($F42=0,"",IF(INDEX(Encargado!$L$9:$L$128,$F42)="Adelanto","Prev. "&amp;TEXT(INDEX(Encargado!$C$9:$C$128,$F42),"dd/mm"),INDEX(Encargado!$C$9:$C$128,$F42)))</f>
        <v/>
      </c>
      <c r="E42" s="50" t="str">
        <f>IF($F42=0,"",INDEX(Encargado!$Y$9:$Y$128,$F42)&amp;CHAR(10)&amp;"Vto. previsto: "&amp;TEXT(INDEX(Encargado!$Q$9:$Q$128,$F42),"dd/mm/yy"))</f>
        <v/>
      </c>
      <c r="F42">
        <f>IFERROR(MATCH(35,Encargado!$V$9:$V$128,0),0)</f>
        <v>0</v>
      </c>
    </row>
    <row r="43" spans="1:6" ht="67" customHeight="1">
      <c r="A43" s="50" t="str">
        <f>IF($F43=0,"",INDEX(Encargado!$AL$9:$AL$128,$F43))</f>
        <v/>
      </c>
      <c r="B43" s="50" t="str">
        <f>IF($F43=0,"",INDEX(Encargado!$A$9:$A$128,$F43)&amp;IF(INDEX(Encargado!$L$9:$L$128,$F43)="Adelanto"," · Adelanto para stock","")&amp;IF(AND(ISNUMBER(INDEX(Encargado!$D$9:$D$128,$F43)),ISNUMBER(INDEX(Encargado!$E$9:$E$128,$F43))),CHAR(10)&amp;TEXT(INDEX(Encargado!$D$9:$D$128,$F43),"dd/mm")&amp;" al "&amp;TEXT(INDEX(Encargado!$E$9:$E$128,$F43),"dd/mm"),""))</f>
        <v/>
      </c>
      <c r="C43" s="51" t="str">
        <f>IF($F43=0,"",ROUND(INDEX(Encargado!$J$9:$J$128,$F43),3)&amp;" "&amp;INDEX(Encargado!$F$9:$F$128,$F43))</f>
        <v/>
      </c>
      <c r="D43" s="52" t="str">
        <f>IF($F43=0,"",IF(INDEX(Encargado!$L$9:$L$128,$F43)="Adelanto","Prev. "&amp;TEXT(INDEX(Encargado!$C$9:$C$128,$F43),"dd/mm"),INDEX(Encargado!$C$9:$C$128,$F43)))</f>
        <v/>
      </c>
      <c r="E43" s="50" t="str">
        <f>IF($F43=0,"",INDEX(Encargado!$Y$9:$Y$128,$F43)&amp;CHAR(10)&amp;"Vto. previsto: "&amp;TEXT(INDEX(Encargado!$Q$9:$Q$128,$F43),"dd/mm/yy"))</f>
        <v/>
      </c>
      <c r="F43">
        <f>IFERROR(MATCH(36,Encargado!$V$9:$V$128,0),0)</f>
        <v>0</v>
      </c>
    </row>
    <row r="44" spans="1:6" ht="67" customHeight="1">
      <c r="A44" s="50" t="str">
        <f>IF($F44=0,"",INDEX(Encargado!$AL$9:$AL$128,$F44))</f>
        <v/>
      </c>
      <c r="B44" s="50" t="str">
        <f>IF($F44=0,"",INDEX(Encargado!$A$9:$A$128,$F44)&amp;IF(INDEX(Encargado!$L$9:$L$128,$F44)="Adelanto"," · Adelanto para stock","")&amp;IF(AND(ISNUMBER(INDEX(Encargado!$D$9:$D$128,$F44)),ISNUMBER(INDEX(Encargado!$E$9:$E$128,$F44))),CHAR(10)&amp;TEXT(INDEX(Encargado!$D$9:$D$128,$F44),"dd/mm")&amp;" al "&amp;TEXT(INDEX(Encargado!$E$9:$E$128,$F44),"dd/mm"),""))</f>
        <v/>
      </c>
      <c r="C44" s="51" t="str">
        <f>IF($F44=0,"",ROUND(INDEX(Encargado!$J$9:$J$128,$F44),3)&amp;" "&amp;INDEX(Encargado!$F$9:$F$128,$F44))</f>
        <v/>
      </c>
      <c r="D44" s="52" t="str">
        <f>IF($F44=0,"",IF(INDEX(Encargado!$L$9:$L$128,$F44)="Adelanto","Prev. "&amp;TEXT(INDEX(Encargado!$C$9:$C$128,$F44),"dd/mm"),INDEX(Encargado!$C$9:$C$128,$F44)))</f>
        <v/>
      </c>
      <c r="E44" s="50" t="str">
        <f>IF($F44=0,"",INDEX(Encargado!$Y$9:$Y$128,$F44)&amp;CHAR(10)&amp;"Vto. previsto: "&amp;TEXT(INDEX(Encargado!$Q$9:$Q$128,$F44),"dd/mm/yy"))</f>
        <v/>
      </c>
      <c r="F44">
        <f>IFERROR(MATCH(37,Encargado!$V$9:$V$128,0),0)</f>
        <v>0</v>
      </c>
    </row>
    <row r="45" spans="1:6" ht="67" customHeight="1">
      <c r="A45" s="50" t="str">
        <f>IF($F45=0,"",INDEX(Encargado!$AL$9:$AL$128,$F45))</f>
        <v/>
      </c>
      <c r="B45" s="50" t="str">
        <f>IF($F45=0,"",INDEX(Encargado!$A$9:$A$128,$F45)&amp;IF(INDEX(Encargado!$L$9:$L$128,$F45)="Adelanto"," · Adelanto para stock","")&amp;IF(AND(ISNUMBER(INDEX(Encargado!$D$9:$D$128,$F45)),ISNUMBER(INDEX(Encargado!$E$9:$E$128,$F45))),CHAR(10)&amp;TEXT(INDEX(Encargado!$D$9:$D$128,$F45),"dd/mm")&amp;" al "&amp;TEXT(INDEX(Encargado!$E$9:$E$128,$F45),"dd/mm"),""))</f>
        <v/>
      </c>
      <c r="C45" s="51" t="str">
        <f>IF($F45=0,"",ROUND(INDEX(Encargado!$J$9:$J$128,$F45),3)&amp;" "&amp;INDEX(Encargado!$F$9:$F$128,$F45))</f>
        <v/>
      </c>
      <c r="D45" s="52" t="str">
        <f>IF($F45=0,"",IF(INDEX(Encargado!$L$9:$L$128,$F45)="Adelanto","Prev. "&amp;TEXT(INDEX(Encargado!$C$9:$C$128,$F45),"dd/mm"),INDEX(Encargado!$C$9:$C$128,$F45)))</f>
        <v/>
      </c>
      <c r="E45" s="50" t="str">
        <f>IF($F45=0,"",INDEX(Encargado!$Y$9:$Y$128,$F45)&amp;CHAR(10)&amp;"Vto. previsto: "&amp;TEXT(INDEX(Encargado!$Q$9:$Q$128,$F45),"dd/mm/yy"))</f>
        <v/>
      </c>
      <c r="F45">
        <f>IFERROR(MATCH(38,Encargado!$V$9:$V$128,0),0)</f>
        <v>0</v>
      </c>
    </row>
    <row r="46" spans="1:6" ht="67" customHeight="1">
      <c r="A46" s="50" t="str">
        <f>IF($F46=0,"",INDEX(Encargado!$AL$9:$AL$128,$F46))</f>
        <v/>
      </c>
      <c r="B46" s="50" t="str">
        <f>IF($F46=0,"",INDEX(Encargado!$A$9:$A$128,$F46)&amp;IF(INDEX(Encargado!$L$9:$L$128,$F46)="Adelanto"," · Adelanto para stock","")&amp;IF(AND(ISNUMBER(INDEX(Encargado!$D$9:$D$128,$F46)),ISNUMBER(INDEX(Encargado!$E$9:$E$128,$F46))),CHAR(10)&amp;TEXT(INDEX(Encargado!$D$9:$D$128,$F46),"dd/mm")&amp;" al "&amp;TEXT(INDEX(Encargado!$E$9:$E$128,$F46),"dd/mm"),""))</f>
        <v/>
      </c>
      <c r="C46" s="51" t="str">
        <f>IF($F46=0,"",ROUND(INDEX(Encargado!$J$9:$J$128,$F46),3)&amp;" "&amp;INDEX(Encargado!$F$9:$F$128,$F46))</f>
        <v/>
      </c>
      <c r="D46" s="52" t="str">
        <f>IF($F46=0,"",IF(INDEX(Encargado!$L$9:$L$128,$F46)="Adelanto","Prev. "&amp;TEXT(INDEX(Encargado!$C$9:$C$128,$F46),"dd/mm"),INDEX(Encargado!$C$9:$C$128,$F46)))</f>
        <v/>
      </c>
      <c r="E46" s="50" t="str">
        <f>IF($F46=0,"",INDEX(Encargado!$Y$9:$Y$128,$F46)&amp;CHAR(10)&amp;"Vto. previsto: "&amp;TEXT(INDEX(Encargado!$Q$9:$Q$128,$F46),"dd/mm/yy"))</f>
        <v/>
      </c>
      <c r="F46">
        <f>IFERROR(MATCH(39,Encargado!$V$9:$V$128,0),0)</f>
        <v>0</v>
      </c>
    </row>
    <row r="47" spans="1:6" ht="67" customHeight="1">
      <c r="A47" s="50" t="str">
        <f>IF($F47=0,"",INDEX(Encargado!$AL$9:$AL$128,$F47))</f>
        <v/>
      </c>
      <c r="B47" s="50" t="str">
        <f>IF($F47=0,"",INDEX(Encargado!$A$9:$A$128,$F47)&amp;IF(INDEX(Encargado!$L$9:$L$128,$F47)="Adelanto"," · Adelanto para stock","")&amp;IF(AND(ISNUMBER(INDEX(Encargado!$D$9:$D$128,$F47)),ISNUMBER(INDEX(Encargado!$E$9:$E$128,$F47))),CHAR(10)&amp;TEXT(INDEX(Encargado!$D$9:$D$128,$F47),"dd/mm")&amp;" al "&amp;TEXT(INDEX(Encargado!$E$9:$E$128,$F47),"dd/mm"),""))</f>
        <v/>
      </c>
      <c r="C47" s="51" t="str">
        <f>IF($F47=0,"",ROUND(INDEX(Encargado!$J$9:$J$128,$F47),3)&amp;" "&amp;INDEX(Encargado!$F$9:$F$128,$F47))</f>
        <v/>
      </c>
      <c r="D47" s="52" t="str">
        <f>IF($F47=0,"",IF(INDEX(Encargado!$L$9:$L$128,$F47)="Adelanto","Prev. "&amp;TEXT(INDEX(Encargado!$C$9:$C$128,$F47),"dd/mm"),INDEX(Encargado!$C$9:$C$128,$F47)))</f>
        <v/>
      </c>
      <c r="E47" s="50" t="str">
        <f>IF($F47=0,"",INDEX(Encargado!$Y$9:$Y$128,$F47)&amp;CHAR(10)&amp;"Vto. previsto: "&amp;TEXT(INDEX(Encargado!$Q$9:$Q$128,$F47),"dd/mm/yy"))</f>
        <v/>
      </c>
      <c r="F47">
        <f>IFERROR(MATCH(40,Encargado!$V$9:$V$128,0),0)</f>
        <v>0</v>
      </c>
    </row>
    <row r="48" spans="1:6" ht="67" customHeight="1">
      <c r="A48" s="50" t="str">
        <f>IF($F48=0,"",INDEX(Encargado!$AL$9:$AL$128,$F48))</f>
        <v/>
      </c>
      <c r="B48" s="50" t="str">
        <f>IF($F48=0,"",INDEX(Encargado!$A$9:$A$128,$F48)&amp;IF(INDEX(Encargado!$L$9:$L$128,$F48)="Adelanto"," · Adelanto para stock","")&amp;IF(AND(ISNUMBER(INDEX(Encargado!$D$9:$D$128,$F48)),ISNUMBER(INDEX(Encargado!$E$9:$E$128,$F48))),CHAR(10)&amp;TEXT(INDEX(Encargado!$D$9:$D$128,$F48),"dd/mm")&amp;" al "&amp;TEXT(INDEX(Encargado!$E$9:$E$128,$F48),"dd/mm"),""))</f>
        <v/>
      </c>
      <c r="C48" s="51" t="str">
        <f>IF($F48=0,"",ROUND(INDEX(Encargado!$J$9:$J$128,$F48),3)&amp;" "&amp;INDEX(Encargado!$F$9:$F$128,$F48))</f>
        <v/>
      </c>
      <c r="D48" s="52" t="str">
        <f>IF($F48=0,"",IF(INDEX(Encargado!$L$9:$L$128,$F48)="Adelanto","Prev. "&amp;TEXT(INDEX(Encargado!$C$9:$C$128,$F48),"dd/mm"),INDEX(Encargado!$C$9:$C$128,$F48)))</f>
        <v/>
      </c>
      <c r="E48" s="50" t="str">
        <f>IF($F48=0,"",INDEX(Encargado!$Y$9:$Y$128,$F48)&amp;CHAR(10)&amp;"Vto. previsto: "&amp;TEXT(INDEX(Encargado!$Q$9:$Q$128,$F48),"dd/mm/yy"))</f>
        <v/>
      </c>
      <c r="F48">
        <f>IFERROR(MATCH(41,Encargado!$V$9:$V$128,0),0)</f>
        <v>0</v>
      </c>
    </row>
    <row r="49" spans="1:6" ht="67" customHeight="1">
      <c r="A49" s="50" t="str">
        <f>IF($F49=0,"",INDEX(Encargado!$AL$9:$AL$128,$F49))</f>
        <v/>
      </c>
      <c r="B49" s="50" t="str">
        <f>IF($F49=0,"",INDEX(Encargado!$A$9:$A$128,$F49)&amp;IF(INDEX(Encargado!$L$9:$L$128,$F49)="Adelanto"," · Adelanto para stock","")&amp;IF(AND(ISNUMBER(INDEX(Encargado!$D$9:$D$128,$F49)),ISNUMBER(INDEX(Encargado!$E$9:$E$128,$F49))),CHAR(10)&amp;TEXT(INDEX(Encargado!$D$9:$D$128,$F49),"dd/mm")&amp;" al "&amp;TEXT(INDEX(Encargado!$E$9:$E$128,$F49),"dd/mm"),""))</f>
        <v/>
      </c>
      <c r="C49" s="51" t="str">
        <f>IF($F49=0,"",ROUND(INDEX(Encargado!$J$9:$J$128,$F49),3)&amp;" "&amp;INDEX(Encargado!$F$9:$F$128,$F49))</f>
        <v/>
      </c>
      <c r="D49" s="52" t="str">
        <f>IF($F49=0,"",IF(INDEX(Encargado!$L$9:$L$128,$F49)="Adelanto","Prev. "&amp;TEXT(INDEX(Encargado!$C$9:$C$128,$F49),"dd/mm"),INDEX(Encargado!$C$9:$C$128,$F49)))</f>
        <v/>
      </c>
      <c r="E49" s="50" t="str">
        <f>IF($F49=0,"",INDEX(Encargado!$Y$9:$Y$128,$F49)&amp;CHAR(10)&amp;"Vto. previsto: "&amp;TEXT(INDEX(Encargado!$Q$9:$Q$128,$F49),"dd/mm/yy"))</f>
        <v/>
      </c>
      <c r="F49">
        <f>IFERROR(MATCH(42,Encargado!$V$9:$V$128,0),0)</f>
        <v>0</v>
      </c>
    </row>
    <row r="50" spans="1:6" ht="67" customHeight="1">
      <c r="A50" s="50" t="str">
        <f>IF($F50=0,"",INDEX(Encargado!$AL$9:$AL$128,$F50))</f>
        <v/>
      </c>
      <c r="B50" s="50" t="str">
        <f>IF($F50=0,"",INDEX(Encargado!$A$9:$A$128,$F50)&amp;IF(INDEX(Encargado!$L$9:$L$128,$F50)="Adelanto"," · Adelanto para stock","")&amp;IF(AND(ISNUMBER(INDEX(Encargado!$D$9:$D$128,$F50)),ISNUMBER(INDEX(Encargado!$E$9:$E$128,$F50))),CHAR(10)&amp;TEXT(INDEX(Encargado!$D$9:$D$128,$F50),"dd/mm")&amp;" al "&amp;TEXT(INDEX(Encargado!$E$9:$E$128,$F50),"dd/mm"),""))</f>
        <v/>
      </c>
      <c r="C50" s="51" t="str">
        <f>IF($F50=0,"",ROUND(INDEX(Encargado!$J$9:$J$128,$F50),3)&amp;" "&amp;INDEX(Encargado!$F$9:$F$128,$F50))</f>
        <v/>
      </c>
      <c r="D50" s="52" t="str">
        <f>IF($F50=0,"",IF(INDEX(Encargado!$L$9:$L$128,$F50)="Adelanto","Prev. "&amp;TEXT(INDEX(Encargado!$C$9:$C$128,$F50),"dd/mm"),INDEX(Encargado!$C$9:$C$128,$F50)))</f>
        <v/>
      </c>
      <c r="E50" s="50" t="str">
        <f>IF($F50=0,"",INDEX(Encargado!$Y$9:$Y$128,$F50)&amp;CHAR(10)&amp;"Vto. previsto: "&amp;TEXT(INDEX(Encargado!$Q$9:$Q$128,$F50),"dd/mm/yy"))</f>
        <v/>
      </c>
      <c r="F50">
        <f>IFERROR(MATCH(43,Encargado!$V$9:$V$128,0),0)</f>
        <v>0</v>
      </c>
    </row>
    <row r="51" spans="1:6" ht="67" customHeight="1">
      <c r="A51" s="50" t="str">
        <f>IF($F51=0,"",INDEX(Encargado!$AL$9:$AL$128,$F51))</f>
        <v/>
      </c>
      <c r="B51" s="50" t="str">
        <f>IF($F51=0,"",INDEX(Encargado!$A$9:$A$128,$F51)&amp;IF(INDEX(Encargado!$L$9:$L$128,$F51)="Adelanto"," · Adelanto para stock","")&amp;IF(AND(ISNUMBER(INDEX(Encargado!$D$9:$D$128,$F51)),ISNUMBER(INDEX(Encargado!$E$9:$E$128,$F51))),CHAR(10)&amp;TEXT(INDEX(Encargado!$D$9:$D$128,$F51),"dd/mm")&amp;" al "&amp;TEXT(INDEX(Encargado!$E$9:$E$128,$F51),"dd/mm"),""))</f>
        <v/>
      </c>
      <c r="C51" s="51" t="str">
        <f>IF($F51=0,"",ROUND(INDEX(Encargado!$J$9:$J$128,$F51),3)&amp;" "&amp;INDEX(Encargado!$F$9:$F$128,$F51))</f>
        <v/>
      </c>
      <c r="D51" s="52" t="str">
        <f>IF($F51=0,"",IF(INDEX(Encargado!$L$9:$L$128,$F51)="Adelanto","Prev. "&amp;TEXT(INDEX(Encargado!$C$9:$C$128,$F51),"dd/mm"),INDEX(Encargado!$C$9:$C$128,$F51)))</f>
        <v/>
      </c>
      <c r="E51" s="50" t="str">
        <f>IF($F51=0,"",INDEX(Encargado!$Y$9:$Y$128,$F51)&amp;CHAR(10)&amp;"Vto. previsto: "&amp;TEXT(INDEX(Encargado!$Q$9:$Q$128,$F51),"dd/mm/yy"))</f>
        <v/>
      </c>
      <c r="F51">
        <f>IFERROR(MATCH(44,Encargado!$V$9:$V$128,0),0)</f>
        <v>0</v>
      </c>
    </row>
    <row r="52" spans="1:6" ht="67" customHeight="1">
      <c r="A52" s="50" t="str">
        <f>IF($F52=0,"",INDEX(Encargado!$AL$9:$AL$128,$F52))</f>
        <v/>
      </c>
      <c r="B52" s="50" t="str">
        <f>IF($F52=0,"",INDEX(Encargado!$A$9:$A$128,$F52)&amp;IF(INDEX(Encargado!$L$9:$L$128,$F52)="Adelanto"," · Adelanto para stock","")&amp;IF(AND(ISNUMBER(INDEX(Encargado!$D$9:$D$128,$F52)),ISNUMBER(INDEX(Encargado!$E$9:$E$128,$F52))),CHAR(10)&amp;TEXT(INDEX(Encargado!$D$9:$D$128,$F52),"dd/mm")&amp;" al "&amp;TEXT(INDEX(Encargado!$E$9:$E$128,$F52),"dd/mm"),""))</f>
        <v/>
      </c>
      <c r="C52" s="51" t="str">
        <f>IF($F52=0,"",ROUND(INDEX(Encargado!$J$9:$J$128,$F52),3)&amp;" "&amp;INDEX(Encargado!$F$9:$F$128,$F52))</f>
        <v/>
      </c>
      <c r="D52" s="52" t="str">
        <f>IF($F52=0,"",IF(INDEX(Encargado!$L$9:$L$128,$F52)="Adelanto","Prev. "&amp;TEXT(INDEX(Encargado!$C$9:$C$128,$F52),"dd/mm"),INDEX(Encargado!$C$9:$C$128,$F52)))</f>
        <v/>
      </c>
      <c r="E52" s="50" t="str">
        <f>IF($F52=0,"",INDEX(Encargado!$Y$9:$Y$128,$F52)&amp;CHAR(10)&amp;"Vto. previsto: "&amp;TEXT(INDEX(Encargado!$Q$9:$Q$128,$F52),"dd/mm/yy"))</f>
        <v/>
      </c>
      <c r="F52">
        <f>IFERROR(MATCH(45,Encargado!$V$9:$V$128,0),0)</f>
        <v>0</v>
      </c>
    </row>
    <row r="53" spans="1:6" ht="67" customHeight="1">
      <c r="A53" s="50" t="str">
        <f>IF($F53=0,"",INDEX(Encargado!$AL$9:$AL$128,$F53))</f>
        <v/>
      </c>
      <c r="B53" s="50" t="str">
        <f>IF($F53=0,"",INDEX(Encargado!$A$9:$A$128,$F53)&amp;IF(INDEX(Encargado!$L$9:$L$128,$F53)="Adelanto"," · Adelanto para stock","")&amp;IF(AND(ISNUMBER(INDEX(Encargado!$D$9:$D$128,$F53)),ISNUMBER(INDEX(Encargado!$E$9:$E$128,$F53))),CHAR(10)&amp;TEXT(INDEX(Encargado!$D$9:$D$128,$F53),"dd/mm")&amp;" al "&amp;TEXT(INDEX(Encargado!$E$9:$E$128,$F53),"dd/mm"),""))</f>
        <v/>
      </c>
      <c r="C53" s="51" t="str">
        <f>IF($F53=0,"",ROUND(INDEX(Encargado!$J$9:$J$128,$F53),3)&amp;" "&amp;INDEX(Encargado!$F$9:$F$128,$F53))</f>
        <v/>
      </c>
      <c r="D53" s="52" t="str">
        <f>IF($F53=0,"",IF(INDEX(Encargado!$L$9:$L$128,$F53)="Adelanto","Prev. "&amp;TEXT(INDEX(Encargado!$C$9:$C$128,$F53),"dd/mm"),INDEX(Encargado!$C$9:$C$128,$F53)))</f>
        <v/>
      </c>
      <c r="E53" s="50" t="str">
        <f>IF($F53=0,"",INDEX(Encargado!$Y$9:$Y$128,$F53)&amp;CHAR(10)&amp;"Vto. previsto: "&amp;TEXT(INDEX(Encargado!$Q$9:$Q$128,$F53),"dd/mm/yy"))</f>
        <v/>
      </c>
      <c r="F53">
        <f>IFERROR(MATCH(46,Encargado!$V$9:$V$128,0),0)</f>
        <v>0</v>
      </c>
    </row>
    <row r="54" spans="1:6" ht="67" customHeight="1">
      <c r="A54" s="50" t="str">
        <f>IF($F54=0,"",INDEX(Encargado!$AL$9:$AL$128,$F54))</f>
        <v/>
      </c>
      <c r="B54" s="50" t="str">
        <f>IF($F54=0,"",INDEX(Encargado!$A$9:$A$128,$F54)&amp;IF(INDEX(Encargado!$L$9:$L$128,$F54)="Adelanto"," · Adelanto para stock","")&amp;IF(AND(ISNUMBER(INDEX(Encargado!$D$9:$D$128,$F54)),ISNUMBER(INDEX(Encargado!$E$9:$E$128,$F54))),CHAR(10)&amp;TEXT(INDEX(Encargado!$D$9:$D$128,$F54),"dd/mm")&amp;" al "&amp;TEXT(INDEX(Encargado!$E$9:$E$128,$F54),"dd/mm"),""))</f>
        <v/>
      </c>
      <c r="C54" s="51" t="str">
        <f>IF($F54=0,"",ROUND(INDEX(Encargado!$J$9:$J$128,$F54),3)&amp;" "&amp;INDEX(Encargado!$F$9:$F$128,$F54))</f>
        <v/>
      </c>
      <c r="D54" s="52" t="str">
        <f>IF($F54=0,"",IF(INDEX(Encargado!$L$9:$L$128,$F54)="Adelanto","Prev. "&amp;TEXT(INDEX(Encargado!$C$9:$C$128,$F54),"dd/mm"),INDEX(Encargado!$C$9:$C$128,$F54)))</f>
        <v/>
      </c>
      <c r="E54" s="50" t="str">
        <f>IF($F54=0,"",INDEX(Encargado!$Y$9:$Y$128,$F54)&amp;CHAR(10)&amp;"Vto. previsto: "&amp;TEXT(INDEX(Encargado!$Q$9:$Q$128,$F54),"dd/mm/yy"))</f>
        <v/>
      </c>
      <c r="F54">
        <f>IFERROR(MATCH(47,Encargado!$V$9:$V$128,0),0)</f>
        <v>0</v>
      </c>
    </row>
    <row r="55" spans="1:6" ht="67" customHeight="1">
      <c r="A55" s="50" t="str">
        <f>IF($F55=0,"",INDEX(Encargado!$AL$9:$AL$128,$F55))</f>
        <v/>
      </c>
      <c r="B55" s="50" t="str">
        <f>IF($F55=0,"",INDEX(Encargado!$A$9:$A$128,$F55)&amp;IF(INDEX(Encargado!$L$9:$L$128,$F55)="Adelanto"," · Adelanto para stock","")&amp;IF(AND(ISNUMBER(INDEX(Encargado!$D$9:$D$128,$F55)),ISNUMBER(INDEX(Encargado!$E$9:$E$128,$F55))),CHAR(10)&amp;TEXT(INDEX(Encargado!$D$9:$D$128,$F55),"dd/mm")&amp;" al "&amp;TEXT(INDEX(Encargado!$E$9:$E$128,$F55),"dd/mm"),""))</f>
        <v/>
      </c>
      <c r="C55" s="51" t="str">
        <f>IF($F55=0,"",ROUND(INDEX(Encargado!$J$9:$J$128,$F55),3)&amp;" "&amp;INDEX(Encargado!$F$9:$F$128,$F55))</f>
        <v/>
      </c>
      <c r="D55" s="52" t="str">
        <f>IF($F55=0,"",IF(INDEX(Encargado!$L$9:$L$128,$F55)="Adelanto","Prev. "&amp;TEXT(INDEX(Encargado!$C$9:$C$128,$F55),"dd/mm"),INDEX(Encargado!$C$9:$C$128,$F55)))</f>
        <v/>
      </c>
      <c r="E55" s="50" t="str">
        <f>IF($F55=0,"",INDEX(Encargado!$Y$9:$Y$128,$F55)&amp;CHAR(10)&amp;"Vto. previsto: "&amp;TEXT(INDEX(Encargado!$Q$9:$Q$128,$F55),"dd/mm/yy"))</f>
        <v/>
      </c>
      <c r="F55">
        <f>IFERROR(MATCH(48,Encargado!$V$9:$V$128,0),0)</f>
        <v>0</v>
      </c>
    </row>
    <row r="56" spans="1:6" ht="67" customHeight="1">
      <c r="A56" s="50" t="str">
        <f>IF($F56=0,"",INDEX(Encargado!$AL$9:$AL$128,$F56))</f>
        <v/>
      </c>
      <c r="B56" s="50" t="str">
        <f>IF($F56=0,"",INDEX(Encargado!$A$9:$A$128,$F56)&amp;IF(INDEX(Encargado!$L$9:$L$128,$F56)="Adelanto"," · Adelanto para stock","")&amp;IF(AND(ISNUMBER(INDEX(Encargado!$D$9:$D$128,$F56)),ISNUMBER(INDEX(Encargado!$E$9:$E$128,$F56))),CHAR(10)&amp;TEXT(INDEX(Encargado!$D$9:$D$128,$F56),"dd/mm")&amp;" al "&amp;TEXT(INDEX(Encargado!$E$9:$E$128,$F56),"dd/mm"),""))</f>
        <v/>
      </c>
      <c r="C56" s="51" t="str">
        <f>IF($F56=0,"",ROUND(INDEX(Encargado!$J$9:$J$128,$F56),3)&amp;" "&amp;INDEX(Encargado!$F$9:$F$128,$F56))</f>
        <v/>
      </c>
      <c r="D56" s="52" t="str">
        <f>IF($F56=0,"",IF(INDEX(Encargado!$L$9:$L$128,$F56)="Adelanto","Prev. "&amp;TEXT(INDEX(Encargado!$C$9:$C$128,$F56),"dd/mm"),INDEX(Encargado!$C$9:$C$128,$F56)))</f>
        <v/>
      </c>
      <c r="E56" s="50" t="str">
        <f>IF($F56=0,"",INDEX(Encargado!$Y$9:$Y$128,$F56)&amp;CHAR(10)&amp;"Vto. previsto: "&amp;TEXT(INDEX(Encargado!$Q$9:$Q$128,$F56),"dd/mm/yy"))</f>
        <v/>
      </c>
      <c r="F56">
        <f>IFERROR(MATCH(49,Encargado!$V$9:$V$128,0),0)</f>
        <v>0</v>
      </c>
    </row>
    <row r="57" spans="1:6" ht="67" customHeight="1">
      <c r="A57" s="50" t="str">
        <f>IF($F57=0,"",INDEX(Encargado!$AL$9:$AL$128,$F57))</f>
        <v/>
      </c>
      <c r="B57" s="50" t="str">
        <f>IF($F57=0,"",INDEX(Encargado!$A$9:$A$128,$F57)&amp;IF(INDEX(Encargado!$L$9:$L$128,$F57)="Adelanto"," · Adelanto para stock","")&amp;IF(AND(ISNUMBER(INDEX(Encargado!$D$9:$D$128,$F57)),ISNUMBER(INDEX(Encargado!$E$9:$E$128,$F57))),CHAR(10)&amp;TEXT(INDEX(Encargado!$D$9:$D$128,$F57),"dd/mm")&amp;" al "&amp;TEXT(INDEX(Encargado!$E$9:$E$128,$F57),"dd/mm"),""))</f>
        <v/>
      </c>
      <c r="C57" s="51" t="str">
        <f>IF($F57=0,"",ROUND(INDEX(Encargado!$J$9:$J$128,$F57),3)&amp;" "&amp;INDEX(Encargado!$F$9:$F$128,$F57))</f>
        <v/>
      </c>
      <c r="D57" s="52" t="str">
        <f>IF($F57=0,"",IF(INDEX(Encargado!$L$9:$L$128,$F57)="Adelanto","Prev. "&amp;TEXT(INDEX(Encargado!$C$9:$C$128,$F57),"dd/mm"),INDEX(Encargado!$C$9:$C$128,$F57)))</f>
        <v/>
      </c>
      <c r="E57" s="50" t="str">
        <f>IF($F57=0,"",INDEX(Encargado!$Y$9:$Y$128,$F57)&amp;CHAR(10)&amp;"Vto. previsto: "&amp;TEXT(INDEX(Encargado!$Q$9:$Q$128,$F57),"dd/mm/yy"))</f>
        <v/>
      </c>
      <c r="F57">
        <f>IFERROR(MATCH(50,Encargado!$V$9:$V$128,0),0)</f>
        <v>0</v>
      </c>
    </row>
    <row r="58" spans="1:6" ht="67" customHeight="1">
      <c r="A58" s="50" t="str">
        <f>IF($F58=0,"",INDEX(Encargado!$AL$9:$AL$128,$F58))</f>
        <v/>
      </c>
      <c r="B58" s="50" t="str">
        <f>IF($F58=0,"",INDEX(Encargado!$A$9:$A$128,$F58)&amp;IF(INDEX(Encargado!$L$9:$L$128,$F58)="Adelanto"," · Adelanto para stock","")&amp;IF(AND(ISNUMBER(INDEX(Encargado!$D$9:$D$128,$F58)),ISNUMBER(INDEX(Encargado!$E$9:$E$128,$F58))),CHAR(10)&amp;TEXT(INDEX(Encargado!$D$9:$D$128,$F58),"dd/mm")&amp;" al "&amp;TEXT(INDEX(Encargado!$E$9:$E$128,$F58),"dd/mm"),""))</f>
        <v/>
      </c>
      <c r="C58" s="51" t="str">
        <f>IF($F58=0,"",ROUND(INDEX(Encargado!$J$9:$J$128,$F58),3)&amp;" "&amp;INDEX(Encargado!$F$9:$F$128,$F58))</f>
        <v/>
      </c>
      <c r="D58" s="52" t="str">
        <f>IF($F58=0,"",IF(INDEX(Encargado!$L$9:$L$128,$F58)="Adelanto","Prev. "&amp;TEXT(INDEX(Encargado!$C$9:$C$128,$F58),"dd/mm"),INDEX(Encargado!$C$9:$C$128,$F58)))</f>
        <v/>
      </c>
      <c r="E58" s="50" t="str">
        <f>IF($F58=0,"",INDEX(Encargado!$Y$9:$Y$128,$F58)&amp;CHAR(10)&amp;"Vto. previsto: "&amp;TEXT(INDEX(Encargado!$Q$9:$Q$128,$F58),"dd/mm/yy"))</f>
        <v/>
      </c>
      <c r="F58">
        <f>IFERROR(MATCH(51,Encargado!$V$9:$V$128,0),0)</f>
        <v>0</v>
      </c>
    </row>
    <row r="59" spans="1:6" ht="67" customHeight="1">
      <c r="A59" s="50" t="str">
        <f>IF($F59=0,"",INDEX(Encargado!$AL$9:$AL$128,$F59))</f>
        <v/>
      </c>
      <c r="B59" s="50" t="str">
        <f>IF($F59=0,"",INDEX(Encargado!$A$9:$A$128,$F59)&amp;IF(INDEX(Encargado!$L$9:$L$128,$F59)="Adelanto"," · Adelanto para stock","")&amp;IF(AND(ISNUMBER(INDEX(Encargado!$D$9:$D$128,$F59)),ISNUMBER(INDEX(Encargado!$E$9:$E$128,$F59))),CHAR(10)&amp;TEXT(INDEX(Encargado!$D$9:$D$128,$F59),"dd/mm")&amp;" al "&amp;TEXT(INDEX(Encargado!$E$9:$E$128,$F59),"dd/mm"),""))</f>
        <v/>
      </c>
      <c r="C59" s="51" t="str">
        <f>IF($F59=0,"",ROUND(INDEX(Encargado!$J$9:$J$128,$F59),3)&amp;" "&amp;INDEX(Encargado!$F$9:$F$128,$F59))</f>
        <v/>
      </c>
      <c r="D59" s="52" t="str">
        <f>IF($F59=0,"",IF(INDEX(Encargado!$L$9:$L$128,$F59)="Adelanto","Prev. "&amp;TEXT(INDEX(Encargado!$C$9:$C$128,$F59),"dd/mm"),INDEX(Encargado!$C$9:$C$128,$F59)))</f>
        <v/>
      </c>
      <c r="E59" s="50" t="str">
        <f>IF($F59=0,"",INDEX(Encargado!$Y$9:$Y$128,$F59)&amp;CHAR(10)&amp;"Vto. previsto: "&amp;TEXT(INDEX(Encargado!$Q$9:$Q$128,$F59),"dd/mm/yy"))</f>
        <v/>
      </c>
      <c r="F59">
        <f>IFERROR(MATCH(52,Encargado!$V$9:$V$128,0),0)</f>
        <v>0</v>
      </c>
    </row>
    <row r="60" spans="1:6" ht="67" customHeight="1">
      <c r="A60" s="50" t="str">
        <f>IF($F60=0,"",INDEX(Encargado!$AL$9:$AL$128,$F60))</f>
        <v/>
      </c>
      <c r="B60" s="50" t="str">
        <f>IF($F60=0,"",INDEX(Encargado!$A$9:$A$128,$F60)&amp;IF(INDEX(Encargado!$L$9:$L$128,$F60)="Adelanto"," · Adelanto para stock","")&amp;IF(AND(ISNUMBER(INDEX(Encargado!$D$9:$D$128,$F60)),ISNUMBER(INDEX(Encargado!$E$9:$E$128,$F60))),CHAR(10)&amp;TEXT(INDEX(Encargado!$D$9:$D$128,$F60),"dd/mm")&amp;" al "&amp;TEXT(INDEX(Encargado!$E$9:$E$128,$F60),"dd/mm"),""))</f>
        <v/>
      </c>
      <c r="C60" s="51" t="str">
        <f>IF($F60=0,"",ROUND(INDEX(Encargado!$J$9:$J$128,$F60),3)&amp;" "&amp;INDEX(Encargado!$F$9:$F$128,$F60))</f>
        <v/>
      </c>
      <c r="D60" s="52" t="str">
        <f>IF($F60=0,"",IF(INDEX(Encargado!$L$9:$L$128,$F60)="Adelanto","Prev. "&amp;TEXT(INDEX(Encargado!$C$9:$C$128,$F60),"dd/mm"),INDEX(Encargado!$C$9:$C$128,$F60)))</f>
        <v/>
      </c>
      <c r="E60" s="50" t="str">
        <f>IF($F60=0,"",INDEX(Encargado!$Y$9:$Y$128,$F60)&amp;CHAR(10)&amp;"Vto. previsto: "&amp;TEXT(INDEX(Encargado!$Q$9:$Q$128,$F60),"dd/mm/yy"))</f>
        <v/>
      </c>
      <c r="F60">
        <f>IFERROR(MATCH(53,Encargado!$V$9:$V$128,0),0)</f>
        <v>0</v>
      </c>
    </row>
    <row r="61" spans="1:6" ht="67" customHeight="1">
      <c r="A61" s="50" t="str">
        <f>IF($F61=0,"",INDEX(Encargado!$AL$9:$AL$128,$F61))</f>
        <v/>
      </c>
      <c r="B61" s="50" t="str">
        <f>IF($F61=0,"",INDEX(Encargado!$A$9:$A$128,$F61)&amp;IF(INDEX(Encargado!$L$9:$L$128,$F61)="Adelanto"," · Adelanto para stock","")&amp;IF(AND(ISNUMBER(INDEX(Encargado!$D$9:$D$128,$F61)),ISNUMBER(INDEX(Encargado!$E$9:$E$128,$F61))),CHAR(10)&amp;TEXT(INDEX(Encargado!$D$9:$D$128,$F61),"dd/mm")&amp;" al "&amp;TEXT(INDEX(Encargado!$E$9:$E$128,$F61),"dd/mm"),""))</f>
        <v/>
      </c>
      <c r="C61" s="51" t="str">
        <f>IF($F61=0,"",ROUND(INDEX(Encargado!$J$9:$J$128,$F61),3)&amp;" "&amp;INDEX(Encargado!$F$9:$F$128,$F61))</f>
        <v/>
      </c>
      <c r="D61" s="52" t="str">
        <f>IF($F61=0,"",IF(INDEX(Encargado!$L$9:$L$128,$F61)="Adelanto","Prev. "&amp;TEXT(INDEX(Encargado!$C$9:$C$128,$F61),"dd/mm"),INDEX(Encargado!$C$9:$C$128,$F61)))</f>
        <v/>
      </c>
      <c r="E61" s="50" t="str">
        <f>IF($F61=0,"",INDEX(Encargado!$Y$9:$Y$128,$F61)&amp;CHAR(10)&amp;"Vto. previsto: "&amp;TEXT(INDEX(Encargado!$Q$9:$Q$128,$F61),"dd/mm/yy"))</f>
        <v/>
      </c>
      <c r="F61">
        <f>IFERROR(MATCH(54,Encargado!$V$9:$V$128,0),0)</f>
        <v>0</v>
      </c>
    </row>
    <row r="62" spans="1:6" ht="67" customHeight="1">
      <c r="A62" s="50" t="str">
        <f>IF($F62=0,"",INDEX(Encargado!$AL$9:$AL$128,$F62))</f>
        <v/>
      </c>
      <c r="B62" s="50" t="str">
        <f>IF($F62=0,"",INDEX(Encargado!$A$9:$A$128,$F62)&amp;IF(INDEX(Encargado!$L$9:$L$128,$F62)="Adelanto"," · Adelanto para stock","")&amp;IF(AND(ISNUMBER(INDEX(Encargado!$D$9:$D$128,$F62)),ISNUMBER(INDEX(Encargado!$E$9:$E$128,$F62))),CHAR(10)&amp;TEXT(INDEX(Encargado!$D$9:$D$128,$F62),"dd/mm")&amp;" al "&amp;TEXT(INDEX(Encargado!$E$9:$E$128,$F62),"dd/mm"),""))</f>
        <v/>
      </c>
      <c r="C62" s="51" t="str">
        <f>IF($F62=0,"",ROUND(INDEX(Encargado!$J$9:$J$128,$F62),3)&amp;" "&amp;INDEX(Encargado!$F$9:$F$128,$F62))</f>
        <v/>
      </c>
      <c r="D62" s="52" t="str">
        <f>IF($F62=0,"",IF(INDEX(Encargado!$L$9:$L$128,$F62)="Adelanto","Prev. "&amp;TEXT(INDEX(Encargado!$C$9:$C$128,$F62),"dd/mm"),INDEX(Encargado!$C$9:$C$128,$F62)))</f>
        <v/>
      </c>
      <c r="E62" s="50" t="str">
        <f>IF($F62=0,"",INDEX(Encargado!$Y$9:$Y$128,$F62)&amp;CHAR(10)&amp;"Vto. previsto: "&amp;TEXT(INDEX(Encargado!$Q$9:$Q$128,$F62),"dd/mm/yy"))</f>
        <v/>
      </c>
      <c r="F62">
        <f>IFERROR(MATCH(55,Encargado!$V$9:$V$128,0),0)</f>
        <v>0</v>
      </c>
    </row>
    <row r="63" spans="1:6" ht="67" customHeight="1">
      <c r="A63" s="50" t="str">
        <f>IF($F63=0,"",INDEX(Encargado!$AL$9:$AL$128,$F63))</f>
        <v/>
      </c>
      <c r="B63" s="50" t="str">
        <f>IF($F63=0,"",INDEX(Encargado!$A$9:$A$128,$F63)&amp;IF(INDEX(Encargado!$L$9:$L$128,$F63)="Adelanto"," · Adelanto para stock","")&amp;IF(AND(ISNUMBER(INDEX(Encargado!$D$9:$D$128,$F63)),ISNUMBER(INDEX(Encargado!$E$9:$E$128,$F63))),CHAR(10)&amp;TEXT(INDEX(Encargado!$D$9:$D$128,$F63),"dd/mm")&amp;" al "&amp;TEXT(INDEX(Encargado!$E$9:$E$128,$F63),"dd/mm"),""))</f>
        <v/>
      </c>
      <c r="C63" s="51" t="str">
        <f>IF($F63=0,"",ROUND(INDEX(Encargado!$J$9:$J$128,$F63),3)&amp;" "&amp;INDEX(Encargado!$F$9:$F$128,$F63))</f>
        <v/>
      </c>
      <c r="D63" s="52" t="str">
        <f>IF($F63=0,"",IF(INDEX(Encargado!$L$9:$L$128,$F63)="Adelanto","Prev. "&amp;TEXT(INDEX(Encargado!$C$9:$C$128,$F63),"dd/mm"),INDEX(Encargado!$C$9:$C$128,$F63)))</f>
        <v/>
      </c>
      <c r="E63" s="50" t="str">
        <f>IF($F63=0,"",INDEX(Encargado!$Y$9:$Y$128,$F63)&amp;CHAR(10)&amp;"Vto. previsto: "&amp;TEXT(INDEX(Encargado!$Q$9:$Q$128,$F63),"dd/mm/yy"))</f>
        <v/>
      </c>
      <c r="F63">
        <f>IFERROR(MATCH(56,Encargado!$V$9:$V$128,0),0)</f>
        <v>0</v>
      </c>
    </row>
    <row r="64" spans="1:6" ht="67" customHeight="1">
      <c r="A64" s="50" t="str">
        <f>IF($F64=0,"",INDEX(Encargado!$AL$9:$AL$128,$F64))</f>
        <v/>
      </c>
      <c r="B64" s="50" t="str">
        <f>IF($F64=0,"",INDEX(Encargado!$A$9:$A$128,$F64)&amp;IF(INDEX(Encargado!$L$9:$L$128,$F64)="Adelanto"," · Adelanto para stock","")&amp;IF(AND(ISNUMBER(INDEX(Encargado!$D$9:$D$128,$F64)),ISNUMBER(INDEX(Encargado!$E$9:$E$128,$F64))),CHAR(10)&amp;TEXT(INDEX(Encargado!$D$9:$D$128,$F64),"dd/mm")&amp;" al "&amp;TEXT(INDEX(Encargado!$E$9:$E$128,$F64),"dd/mm"),""))</f>
        <v/>
      </c>
      <c r="C64" s="51" t="str">
        <f>IF($F64=0,"",ROUND(INDEX(Encargado!$J$9:$J$128,$F64),3)&amp;" "&amp;INDEX(Encargado!$F$9:$F$128,$F64))</f>
        <v/>
      </c>
      <c r="D64" s="52" t="str">
        <f>IF($F64=0,"",IF(INDEX(Encargado!$L$9:$L$128,$F64)="Adelanto","Prev. "&amp;TEXT(INDEX(Encargado!$C$9:$C$128,$F64),"dd/mm"),INDEX(Encargado!$C$9:$C$128,$F64)))</f>
        <v/>
      </c>
      <c r="E64" s="50" t="str">
        <f>IF($F64=0,"",INDEX(Encargado!$Y$9:$Y$128,$F64)&amp;CHAR(10)&amp;"Vto. previsto: "&amp;TEXT(INDEX(Encargado!$Q$9:$Q$128,$F64),"dd/mm/yy"))</f>
        <v/>
      </c>
      <c r="F64">
        <f>IFERROR(MATCH(57,Encargado!$V$9:$V$128,0),0)</f>
        <v>0</v>
      </c>
    </row>
    <row r="65" spans="1:6" ht="67" customHeight="1">
      <c r="A65" s="50" t="str">
        <f>IF($F65=0,"",INDEX(Encargado!$AL$9:$AL$128,$F65))</f>
        <v/>
      </c>
      <c r="B65" s="50" t="str">
        <f>IF($F65=0,"",INDEX(Encargado!$A$9:$A$128,$F65)&amp;IF(INDEX(Encargado!$L$9:$L$128,$F65)="Adelanto"," · Adelanto para stock","")&amp;IF(AND(ISNUMBER(INDEX(Encargado!$D$9:$D$128,$F65)),ISNUMBER(INDEX(Encargado!$E$9:$E$128,$F65))),CHAR(10)&amp;TEXT(INDEX(Encargado!$D$9:$D$128,$F65),"dd/mm")&amp;" al "&amp;TEXT(INDEX(Encargado!$E$9:$E$128,$F65),"dd/mm"),""))</f>
        <v/>
      </c>
      <c r="C65" s="51" t="str">
        <f>IF($F65=0,"",ROUND(INDEX(Encargado!$J$9:$J$128,$F65),3)&amp;" "&amp;INDEX(Encargado!$F$9:$F$128,$F65))</f>
        <v/>
      </c>
      <c r="D65" s="52" t="str">
        <f>IF($F65=0,"",IF(INDEX(Encargado!$L$9:$L$128,$F65)="Adelanto","Prev. "&amp;TEXT(INDEX(Encargado!$C$9:$C$128,$F65),"dd/mm"),INDEX(Encargado!$C$9:$C$128,$F65)))</f>
        <v/>
      </c>
      <c r="E65" s="50" t="str">
        <f>IF($F65=0,"",INDEX(Encargado!$Y$9:$Y$128,$F65)&amp;CHAR(10)&amp;"Vto. previsto: "&amp;TEXT(INDEX(Encargado!$Q$9:$Q$128,$F65),"dd/mm/yy"))</f>
        <v/>
      </c>
      <c r="F65">
        <f>IFERROR(MATCH(58,Encargado!$V$9:$V$128,0),0)</f>
        <v>0</v>
      </c>
    </row>
    <row r="66" spans="1:6" ht="67" customHeight="1">
      <c r="A66" s="50" t="str">
        <f>IF($F66=0,"",INDEX(Encargado!$AL$9:$AL$128,$F66))</f>
        <v/>
      </c>
      <c r="B66" s="50" t="str">
        <f>IF($F66=0,"",INDEX(Encargado!$A$9:$A$128,$F66)&amp;IF(INDEX(Encargado!$L$9:$L$128,$F66)="Adelanto"," · Adelanto para stock","")&amp;IF(AND(ISNUMBER(INDEX(Encargado!$D$9:$D$128,$F66)),ISNUMBER(INDEX(Encargado!$E$9:$E$128,$F66))),CHAR(10)&amp;TEXT(INDEX(Encargado!$D$9:$D$128,$F66),"dd/mm")&amp;" al "&amp;TEXT(INDEX(Encargado!$E$9:$E$128,$F66),"dd/mm"),""))</f>
        <v/>
      </c>
      <c r="C66" s="51" t="str">
        <f>IF($F66=0,"",ROUND(INDEX(Encargado!$J$9:$J$128,$F66),3)&amp;" "&amp;INDEX(Encargado!$F$9:$F$128,$F66))</f>
        <v/>
      </c>
      <c r="D66" s="52" t="str">
        <f>IF($F66=0,"",IF(INDEX(Encargado!$L$9:$L$128,$F66)="Adelanto","Prev. "&amp;TEXT(INDEX(Encargado!$C$9:$C$128,$F66),"dd/mm"),INDEX(Encargado!$C$9:$C$128,$F66)))</f>
        <v/>
      </c>
      <c r="E66" s="50" t="str">
        <f>IF($F66=0,"",INDEX(Encargado!$Y$9:$Y$128,$F66)&amp;CHAR(10)&amp;"Vto. previsto: "&amp;TEXT(INDEX(Encargado!$Q$9:$Q$128,$F66),"dd/mm/yy"))</f>
        <v/>
      </c>
      <c r="F66">
        <f>IFERROR(MATCH(59,Encargado!$V$9:$V$128,0),0)</f>
        <v>0</v>
      </c>
    </row>
    <row r="67" spans="1:6" ht="67" customHeight="1">
      <c r="A67" s="50" t="str">
        <f>IF($F67=0,"",INDEX(Encargado!$AL$9:$AL$128,$F67))</f>
        <v/>
      </c>
      <c r="B67" s="50" t="str">
        <f>IF($F67=0,"",INDEX(Encargado!$A$9:$A$128,$F67)&amp;IF(INDEX(Encargado!$L$9:$L$128,$F67)="Adelanto"," · Adelanto para stock","")&amp;IF(AND(ISNUMBER(INDEX(Encargado!$D$9:$D$128,$F67)),ISNUMBER(INDEX(Encargado!$E$9:$E$128,$F67))),CHAR(10)&amp;TEXT(INDEX(Encargado!$D$9:$D$128,$F67),"dd/mm")&amp;" al "&amp;TEXT(INDEX(Encargado!$E$9:$E$128,$F67),"dd/mm"),""))</f>
        <v/>
      </c>
      <c r="C67" s="51" t="str">
        <f>IF($F67=0,"",ROUND(INDEX(Encargado!$J$9:$J$128,$F67),3)&amp;" "&amp;INDEX(Encargado!$F$9:$F$128,$F67))</f>
        <v/>
      </c>
      <c r="D67" s="52" t="str">
        <f>IF($F67=0,"",IF(INDEX(Encargado!$L$9:$L$128,$F67)="Adelanto","Prev. "&amp;TEXT(INDEX(Encargado!$C$9:$C$128,$F67),"dd/mm"),INDEX(Encargado!$C$9:$C$128,$F67)))</f>
        <v/>
      </c>
      <c r="E67" s="50" t="str">
        <f>IF($F67=0,"",INDEX(Encargado!$Y$9:$Y$128,$F67)&amp;CHAR(10)&amp;"Vto. previsto: "&amp;TEXT(INDEX(Encargado!$Q$9:$Q$128,$F67),"dd/mm/yy"))</f>
        <v/>
      </c>
      <c r="F67">
        <f>IFERROR(MATCH(60,Encargado!$V$9:$V$128,0),0)</f>
        <v>0</v>
      </c>
    </row>
    <row r="68" spans="1:6" ht="67" customHeight="1">
      <c r="A68" s="50" t="str">
        <f>IF($F68=0,"",INDEX(Encargado!$AL$9:$AL$128,$F68))</f>
        <v/>
      </c>
      <c r="B68" s="50" t="str">
        <f>IF($F68=0,"",INDEX(Encargado!$A$9:$A$128,$F68)&amp;IF(INDEX(Encargado!$L$9:$L$128,$F68)="Adelanto"," · Adelanto para stock","")&amp;IF(AND(ISNUMBER(INDEX(Encargado!$D$9:$D$128,$F68)),ISNUMBER(INDEX(Encargado!$E$9:$E$128,$F68))),CHAR(10)&amp;TEXT(INDEX(Encargado!$D$9:$D$128,$F68),"dd/mm")&amp;" al "&amp;TEXT(INDEX(Encargado!$E$9:$E$128,$F68),"dd/mm"),""))</f>
        <v/>
      </c>
      <c r="C68" s="51" t="str">
        <f>IF($F68=0,"",ROUND(INDEX(Encargado!$J$9:$J$128,$F68),3)&amp;" "&amp;INDEX(Encargado!$F$9:$F$128,$F68))</f>
        <v/>
      </c>
      <c r="D68" s="52" t="str">
        <f>IF($F68=0,"",IF(INDEX(Encargado!$L$9:$L$128,$F68)="Adelanto","Prev. "&amp;TEXT(INDEX(Encargado!$C$9:$C$128,$F68),"dd/mm"),INDEX(Encargado!$C$9:$C$128,$F68)))</f>
        <v/>
      </c>
      <c r="E68" s="50" t="str">
        <f>IF($F68=0,"",INDEX(Encargado!$Y$9:$Y$128,$F68)&amp;CHAR(10)&amp;"Vto. previsto: "&amp;TEXT(INDEX(Encargado!$Q$9:$Q$128,$F68),"dd/mm/yy"))</f>
        <v/>
      </c>
      <c r="F68">
        <f>IFERROR(MATCH(61,Encargado!$V$9:$V$128,0),0)</f>
        <v>0</v>
      </c>
    </row>
    <row r="69" spans="1:6" ht="67" customHeight="1">
      <c r="A69" s="50" t="str">
        <f>IF($F69=0,"",INDEX(Encargado!$AL$9:$AL$128,$F69))</f>
        <v/>
      </c>
      <c r="B69" s="50" t="str">
        <f>IF($F69=0,"",INDEX(Encargado!$A$9:$A$128,$F69)&amp;IF(INDEX(Encargado!$L$9:$L$128,$F69)="Adelanto"," · Adelanto para stock","")&amp;IF(AND(ISNUMBER(INDEX(Encargado!$D$9:$D$128,$F69)),ISNUMBER(INDEX(Encargado!$E$9:$E$128,$F69))),CHAR(10)&amp;TEXT(INDEX(Encargado!$D$9:$D$128,$F69),"dd/mm")&amp;" al "&amp;TEXT(INDEX(Encargado!$E$9:$E$128,$F69),"dd/mm"),""))</f>
        <v/>
      </c>
      <c r="C69" s="51" t="str">
        <f>IF($F69=0,"",ROUND(INDEX(Encargado!$J$9:$J$128,$F69),3)&amp;" "&amp;INDEX(Encargado!$F$9:$F$128,$F69))</f>
        <v/>
      </c>
      <c r="D69" s="52" t="str">
        <f>IF($F69=0,"",IF(INDEX(Encargado!$L$9:$L$128,$F69)="Adelanto","Prev. "&amp;TEXT(INDEX(Encargado!$C$9:$C$128,$F69),"dd/mm"),INDEX(Encargado!$C$9:$C$128,$F69)))</f>
        <v/>
      </c>
      <c r="E69" s="50" t="str">
        <f>IF($F69=0,"",INDEX(Encargado!$Y$9:$Y$128,$F69)&amp;CHAR(10)&amp;"Vto. previsto: "&amp;TEXT(INDEX(Encargado!$Q$9:$Q$128,$F69),"dd/mm/yy"))</f>
        <v/>
      </c>
      <c r="F69">
        <f>IFERROR(MATCH(62,Encargado!$V$9:$V$128,0),0)</f>
        <v>0</v>
      </c>
    </row>
    <row r="70" spans="1:6" ht="67" customHeight="1">
      <c r="A70" s="50" t="str">
        <f>IF($F70=0,"",INDEX(Encargado!$AL$9:$AL$128,$F70))</f>
        <v/>
      </c>
      <c r="B70" s="50" t="str">
        <f>IF($F70=0,"",INDEX(Encargado!$A$9:$A$128,$F70)&amp;IF(INDEX(Encargado!$L$9:$L$128,$F70)="Adelanto"," · Adelanto para stock","")&amp;IF(AND(ISNUMBER(INDEX(Encargado!$D$9:$D$128,$F70)),ISNUMBER(INDEX(Encargado!$E$9:$E$128,$F70))),CHAR(10)&amp;TEXT(INDEX(Encargado!$D$9:$D$128,$F70),"dd/mm")&amp;" al "&amp;TEXT(INDEX(Encargado!$E$9:$E$128,$F70),"dd/mm"),""))</f>
        <v/>
      </c>
      <c r="C70" s="51" t="str">
        <f>IF($F70=0,"",ROUND(INDEX(Encargado!$J$9:$J$128,$F70),3)&amp;" "&amp;INDEX(Encargado!$F$9:$F$128,$F70))</f>
        <v/>
      </c>
      <c r="D70" s="52" t="str">
        <f>IF($F70=0,"",IF(INDEX(Encargado!$L$9:$L$128,$F70)="Adelanto","Prev. "&amp;TEXT(INDEX(Encargado!$C$9:$C$128,$F70),"dd/mm"),INDEX(Encargado!$C$9:$C$128,$F70)))</f>
        <v/>
      </c>
      <c r="E70" s="50" t="str">
        <f>IF($F70=0,"",INDEX(Encargado!$Y$9:$Y$128,$F70)&amp;CHAR(10)&amp;"Vto. previsto: "&amp;TEXT(INDEX(Encargado!$Q$9:$Q$128,$F70),"dd/mm/yy"))</f>
        <v/>
      </c>
      <c r="F70">
        <f>IFERROR(MATCH(63,Encargado!$V$9:$V$128,0),0)</f>
        <v>0</v>
      </c>
    </row>
    <row r="71" spans="1:6" ht="67" customHeight="1">
      <c r="A71" s="50" t="str">
        <f>IF($F71=0,"",INDEX(Encargado!$AL$9:$AL$128,$F71))</f>
        <v/>
      </c>
      <c r="B71" s="50" t="str">
        <f>IF($F71=0,"",INDEX(Encargado!$A$9:$A$128,$F71)&amp;IF(INDEX(Encargado!$L$9:$L$128,$F71)="Adelanto"," · Adelanto para stock","")&amp;IF(AND(ISNUMBER(INDEX(Encargado!$D$9:$D$128,$F71)),ISNUMBER(INDEX(Encargado!$E$9:$E$128,$F71))),CHAR(10)&amp;TEXT(INDEX(Encargado!$D$9:$D$128,$F71),"dd/mm")&amp;" al "&amp;TEXT(INDEX(Encargado!$E$9:$E$128,$F71),"dd/mm"),""))</f>
        <v/>
      </c>
      <c r="C71" s="51" t="str">
        <f>IF($F71=0,"",ROUND(INDEX(Encargado!$J$9:$J$128,$F71),3)&amp;" "&amp;INDEX(Encargado!$F$9:$F$128,$F71))</f>
        <v/>
      </c>
      <c r="D71" s="52" t="str">
        <f>IF($F71=0,"",IF(INDEX(Encargado!$L$9:$L$128,$F71)="Adelanto","Prev. "&amp;TEXT(INDEX(Encargado!$C$9:$C$128,$F71),"dd/mm"),INDEX(Encargado!$C$9:$C$128,$F71)))</f>
        <v/>
      </c>
      <c r="E71" s="50" t="str">
        <f>IF($F71=0,"",INDEX(Encargado!$Y$9:$Y$128,$F71)&amp;CHAR(10)&amp;"Vto. previsto: "&amp;TEXT(INDEX(Encargado!$Q$9:$Q$128,$F71),"dd/mm/yy"))</f>
        <v/>
      </c>
      <c r="F71">
        <f>IFERROR(MATCH(64,Encargado!$V$9:$V$128,0),0)</f>
        <v>0</v>
      </c>
    </row>
    <row r="72" spans="1:6" ht="67" customHeight="1">
      <c r="A72" s="50" t="str">
        <f>IF($F72=0,"",INDEX(Encargado!$AL$9:$AL$128,$F72))</f>
        <v/>
      </c>
      <c r="B72" s="50" t="str">
        <f>IF($F72=0,"",INDEX(Encargado!$A$9:$A$128,$F72)&amp;IF(INDEX(Encargado!$L$9:$L$128,$F72)="Adelanto"," · Adelanto para stock","")&amp;IF(AND(ISNUMBER(INDEX(Encargado!$D$9:$D$128,$F72)),ISNUMBER(INDEX(Encargado!$E$9:$E$128,$F72))),CHAR(10)&amp;TEXT(INDEX(Encargado!$D$9:$D$128,$F72),"dd/mm")&amp;" al "&amp;TEXT(INDEX(Encargado!$E$9:$E$128,$F72),"dd/mm"),""))</f>
        <v/>
      </c>
      <c r="C72" s="51" t="str">
        <f>IF($F72=0,"",ROUND(INDEX(Encargado!$J$9:$J$128,$F72),3)&amp;" "&amp;INDEX(Encargado!$F$9:$F$128,$F72))</f>
        <v/>
      </c>
      <c r="D72" s="52" t="str">
        <f>IF($F72=0,"",IF(INDEX(Encargado!$L$9:$L$128,$F72)="Adelanto","Prev. "&amp;TEXT(INDEX(Encargado!$C$9:$C$128,$F72),"dd/mm"),INDEX(Encargado!$C$9:$C$128,$F72)))</f>
        <v/>
      </c>
      <c r="E72" s="50" t="str">
        <f>IF($F72=0,"",INDEX(Encargado!$Y$9:$Y$128,$F72)&amp;CHAR(10)&amp;"Vto. previsto: "&amp;TEXT(INDEX(Encargado!$Q$9:$Q$128,$F72),"dd/mm/yy"))</f>
        <v/>
      </c>
      <c r="F72">
        <f>IFERROR(MATCH(65,Encargado!$V$9:$V$128,0),0)</f>
        <v>0</v>
      </c>
    </row>
    <row r="73" spans="1:6" ht="67" customHeight="1">
      <c r="A73" s="50" t="str">
        <f>IF($F73=0,"",INDEX(Encargado!$AL$9:$AL$128,$F73))</f>
        <v/>
      </c>
      <c r="B73" s="50" t="str">
        <f>IF($F73=0,"",INDEX(Encargado!$A$9:$A$128,$F73)&amp;IF(INDEX(Encargado!$L$9:$L$128,$F73)="Adelanto"," · Adelanto para stock","")&amp;IF(AND(ISNUMBER(INDEX(Encargado!$D$9:$D$128,$F73)),ISNUMBER(INDEX(Encargado!$E$9:$E$128,$F73))),CHAR(10)&amp;TEXT(INDEX(Encargado!$D$9:$D$128,$F73),"dd/mm")&amp;" al "&amp;TEXT(INDEX(Encargado!$E$9:$E$128,$F73),"dd/mm"),""))</f>
        <v/>
      </c>
      <c r="C73" s="51" t="str">
        <f>IF($F73=0,"",ROUND(INDEX(Encargado!$J$9:$J$128,$F73),3)&amp;" "&amp;INDEX(Encargado!$F$9:$F$128,$F73))</f>
        <v/>
      </c>
      <c r="D73" s="52" t="str">
        <f>IF($F73=0,"",IF(INDEX(Encargado!$L$9:$L$128,$F73)="Adelanto","Prev. "&amp;TEXT(INDEX(Encargado!$C$9:$C$128,$F73),"dd/mm"),INDEX(Encargado!$C$9:$C$128,$F73)))</f>
        <v/>
      </c>
      <c r="E73" s="50" t="str">
        <f>IF($F73=0,"",INDEX(Encargado!$Y$9:$Y$128,$F73)&amp;CHAR(10)&amp;"Vto. previsto: "&amp;TEXT(INDEX(Encargado!$Q$9:$Q$128,$F73),"dd/mm/yy"))</f>
        <v/>
      </c>
      <c r="F73">
        <f>IFERROR(MATCH(66,Encargado!$V$9:$V$128,0),0)</f>
        <v>0</v>
      </c>
    </row>
    <row r="74" spans="1:6" ht="67" customHeight="1">
      <c r="A74" s="50" t="str">
        <f>IF($F74=0,"",INDEX(Encargado!$AL$9:$AL$128,$F74))</f>
        <v/>
      </c>
      <c r="B74" s="50" t="str">
        <f>IF($F74=0,"",INDEX(Encargado!$A$9:$A$128,$F74)&amp;IF(INDEX(Encargado!$L$9:$L$128,$F74)="Adelanto"," · Adelanto para stock","")&amp;IF(AND(ISNUMBER(INDEX(Encargado!$D$9:$D$128,$F74)),ISNUMBER(INDEX(Encargado!$E$9:$E$128,$F74))),CHAR(10)&amp;TEXT(INDEX(Encargado!$D$9:$D$128,$F74),"dd/mm")&amp;" al "&amp;TEXT(INDEX(Encargado!$E$9:$E$128,$F74),"dd/mm"),""))</f>
        <v/>
      </c>
      <c r="C74" s="51" t="str">
        <f>IF($F74=0,"",ROUND(INDEX(Encargado!$J$9:$J$128,$F74),3)&amp;" "&amp;INDEX(Encargado!$F$9:$F$128,$F74))</f>
        <v/>
      </c>
      <c r="D74" s="52" t="str">
        <f>IF($F74=0,"",IF(INDEX(Encargado!$L$9:$L$128,$F74)="Adelanto","Prev. "&amp;TEXT(INDEX(Encargado!$C$9:$C$128,$F74),"dd/mm"),INDEX(Encargado!$C$9:$C$128,$F74)))</f>
        <v/>
      </c>
      <c r="E74" s="50" t="str">
        <f>IF($F74=0,"",INDEX(Encargado!$Y$9:$Y$128,$F74)&amp;CHAR(10)&amp;"Vto. previsto: "&amp;TEXT(INDEX(Encargado!$Q$9:$Q$128,$F74),"dd/mm/yy"))</f>
        <v/>
      </c>
      <c r="F74">
        <f>IFERROR(MATCH(67,Encargado!$V$9:$V$128,0),0)</f>
        <v>0</v>
      </c>
    </row>
    <row r="75" spans="1:6" ht="67" customHeight="1">
      <c r="A75" s="50" t="str">
        <f>IF($F75=0,"",INDEX(Encargado!$AL$9:$AL$128,$F75))</f>
        <v/>
      </c>
      <c r="B75" s="50" t="str">
        <f>IF($F75=0,"",INDEX(Encargado!$A$9:$A$128,$F75)&amp;IF(INDEX(Encargado!$L$9:$L$128,$F75)="Adelanto"," · Adelanto para stock","")&amp;IF(AND(ISNUMBER(INDEX(Encargado!$D$9:$D$128,$F75)),ISNUMBER(INDEX(Encargado!$E$9:$E$128,$F75))),CHAR(10)&amp;TEXT(INDEX(Encargado!$D$9:$D$128,$F75),"dd/mm")&amp;" al "&amp;TEXT(INDEX(Encargado!$E$9:$E$128,$F75),"dd/mm"),""))</f>
        <v/>
      </c>
      <c r="C75" s="51" t="str">
        <f>IF($F75=0,"",ROUND(INDEX(Encargado!$J$9:$J$128,$F75),3)&amp;" "&amp;INDEX(Encargado!$F$9:$F$128,$F75))</f>
        <v/>
      </c>
      <c r="D75" s="52" t="str">
        <f>IF($F75=0,"",IF(INDEX(Encargado!$L$9:$L$128,$F75)="Adelanto","Prev. "&amp;TEXT(INDEX(Encargado!$C$9:$C$128,$F75),"dd/mm"),INDEX(Encargado!$C$9:$C$128,$F75)))</f>
        <v/>
      </c>
      <c r="E75" s="50" t="str">
        <f>IF($F75=0,"",INDEX(Encargado!$Y$9:$Y$128,$F75)&amp;CHAR(10)&amp;"Vto. previsto: "&amp;TEXT(INDEX(Encargado!$Q$9:$Q$128,$F75),"dd/mm/yy"))</f>
        <v/>
      </c>
      <c r="F75">
        <f>IFERROR(MATCH(68,Encargado!$V$9:$V$128,0),0)</f>
        <v>0</v>
      </c>
    </row>
    <row r="76" spans="1:6" ht="67" customHeight="1">
      <c r="A76" s="50" t="str">
        <f>IF($F76=0,"",INDEX(Encargado!$AL$9:$AL$128,$F76))</f>
        <v/>
      </c>
      <c r="B76" s="50" t="str">
        <f>IF($F76=0,"",INDEX(Encargado!$A$9:$A$128,$F76)&amp;IF(INDEX(Encargado!$L$9:$L$128,$F76)="Adelanto"," · Adelanto para stock","")&amp;IF(AND(ISNUMBER(INDEX(Encargado!$D$9:$D$128,$F76)),ISNUMBER(INDEX(Encargado!$E$9:$E$128,$F76))),CHAR(10)&amp;TEXT(INDEX(Encargado!$D$9:$D$128,$F76),"dd/mm")&amp;" al "&amp;TEXT(INDEX(Encargado!$E$9:$E$128,$F76),"dd/mm"),""))</f>
        <v/>
      </c>
      <c r="C76" s="51" t="str">
        <f>IF($F76=0,"",ROUND(INDEX(Encargado!$J$9:$J$128,$F76),3)&amp;" "&amp;INDEX(Encargado!$F$9:$F$128,$F76))</f>
        <v/>
      </c>
      <c r="D76" s="52" t="str">
        <f>IF($F76=0,"",IF(INDEX(Encargado!$L$9:$L$128,$F76)="Adelanto","Prev. "&amp;TEXT(INDEX(Encargado!$C$9:$C$128,$F76),"dd/mm"),INDEX(Encargado!$C$9:$C$128,$F76)))</f>
        <v/>
      </c>
      <c r="E76" s="50" t="str">
        <f>IF($F76=0,"",INDEX(Encargado!$Y$9:$Y$128,$F76)&amp;CHAR(10)&amp;"Vto. previsto: "&amp;TEXT(INDEX(Encargado!$Q$9:$Q$128,$F76),"dd/mm/yy"))</f>
        <v/>
      </c>
      <c r="F76">
        <f>IFERROR(MATCH(69,Encargado!$V$9:$V$128,0),0)</f>
        <v>0</v>
      </c>
    </row>
    <row r="77" spans="1:6" ht="67" customHeight="1">
      <c r="A77" s="50" t="str">
        <f>IF($F77=0,"",INDEX(Encargado!$AL$9:$AL$128,$F77))</f>
        <v/>
      </c>
      <c r="B77" s="50" t="str">
        <f>IF($F77=0,"",INDEX(Encargado!$A$9:$A$128,$F77)&amp;IF(INDEX(Encargado!$L$9:$L$128,$F77)="Adelanto"," · Adelanto para stock","")&amp;IF(AND(ISNUMBER(INDEX(Encargado!$D$9:$D$128,$F77)),ISNUMBER(INDEX(Encargado!$E$9:$E$128,$F77))),CHAR(10)&amp;TEXT(INDEX(Encargado!$D$9:$D$128,$F77),"dd/mm")&amp;" al "&amp;TEXT(INDEX(Encargado!$E$9:$E$128,$F77),"dd/mm"),""))</f>
        <v/>
      </c>
      <c r="C77" s="51" t="str">
        <f>IF($F77=0,"",ROUND(INDEX(Encargado!$J$9:$J$128,$F77),3)&amp;" "&amp;INDEX(Encargado!$F$9:$F$128,$F77))</f>
        <v/>
      </c>
      <c r="D77" s="52" t="str">
        <f>IF($F77=0,"",IF(INDEX(Encargado!$L$9:$L$128,$F77)="Adelanto","Prev. "&amp;TEXT(INDEX(Encargado!$C$9:$C$128,$F77),"dd/mm"),INDEX(Encargado!$C$9:$C$128,$F77)))</f>
        <v/>
      </c>
      <c r="E77" s="50" t="str">
        <f>IF($F77=0,"",INDEX(Encargado!$Y$9:$Y$128,$F77)&amp;CHAR(10)&amp;"Vto. previsto: "&amp;TEXT(INDEX(Encargado!$Q$9:$Q$128,$F77),"dd/mm/yy"))</f>
        <v/>
      </c>
      <c r="F77">
        <f>IFERROR(MATCH(70,Encargado!$V$9:$V$128,0),0)</f>
        <v>0</v>
      </c>
    </row>
    <row r="78" spans="1:6" ht="67" customHeight="1">
      <c r="A78" s="50" t="str">
        <f>IF($F78=0,"",INDEX(Encargado!$AL$9:$AL$128,$F78))</f>
        <v/>
      </c>
      <c r="B78" s="50" t="str">
        <f>IF($F78=0,"",INDEX(Encargado!$A$9:$A$128,$F78)&amp;IF(INDEX(Encargado!$L$9:$L$128,$F78)="Adelanto"," · Adelanto para stock","")&amp;IF(AND(ISNUMBER(INDEX(Encargado!$D$9:$D$128,$F78)),ISNUMBER(INDEX(Encargado!$E$9:$E$128,$F78))),CHAR(10)&amp;TEXT(INDEX(Encargado!$D$9:$D$128,$F78),"dd/mm")&amp;" al "&amp;TEXT(INDEX(Encargado!$E$9:$E$128,$F78),"dd/mm"),""))</f>
        <v/>
      </c>
      <c r="C78" s="51" t="str">
        <f>IF($F78=0,"",ROUND(INDEX(Encargado!$J$9:$J$128,$F78),3)&amp;" "&amp;INDEX(Encargado!$F$9:$F$128,$F78))</f>
        <v/>
      </c>
      <c r="D78" s="52" t="str">
        <f>IF($F78=0,"",IF(INDEX(Encargado!$L$9:$L$128,$F78)="Adelanto","Prev. "&amp;TEXT(INDEX(Encargado!$C$9:$C$128,$F78),"dd/mm"),INDEX(Encargado!$C$9:$C$128,$F78)))</f>
        <v/>
      </c>
      <c r="E78" s="50" t="str">
        <f>IF($F78=0,"",INDEX(Encargado!$Y$9:$Y$128,$F78)&amp;CHAR(10)&amp;"Vto. previsto: "&amp;TEXT(INDEX(Encargado!$Q$9:$Q$128,$F78),"dd/mm/yy"))</f>
        <v/>
      </c>
      <c r="F78">
        <f>IFERROR(MATCH(71,Encargado!$V$9:$V$128,0),0)</f>
        <v>0</v>
      </c>
    </row>
    <row r="79" spans="1:6" ht="67" customHeight="1">
      <c r="A79" s="50" t="str">
        <f>IF($F79=0,"",INDEX(Encargado!$AL$9:$AL$128,$F79))</f>
        <v/>
      </c>
      <c r="B79" s="50" t="str">
        <f>IF($F79=0,"",INDEX(Encargado!$A$9:$A$128,$F79)&amp;IF(INDEX(Encargado!$L$9:$L$128,$F79)="Adelanto"," · Adelanto para stock","")&amp;IF(AND(ISNUMBER(INDEX(Encargado!$D$9:$D$128,$F79)),ISNUMBER(INDEX(Encargado!$E$9:$E$128,$F79))),CHAR(10)&amp;TEXT(INDEX(Encargado!$D$9:$D$128,$F79),"dd/mm")&amp;" al "&amp;TEXT(INDEX(Encargado!$E$9:$E$128,$F79),"dd/mm"),""))</f>
        <v/>
      </c>
      <c r="C79" s="51" t="str">
        <f>IF($F79=0,"",ROUND(INDEX(Encargado!$J$9:$J$128,$F79),3)&amp;" "&amp;INDEX(Encargado!$F$9:$F$128,$F79))</f>
        <v/>
      </c>
      <c r="D79" s="52" t="str">
        <f>IF($F79=0,"",IF(INDEX(Encargado!$L$9:$L$128,$F79)="Adelanto","Prev. "&amp;TEXT(INDEX(Encargado!$C$9:$C$128,$F79),"dd/mm"),INDEX(Encargado!$C$9:$C$128,$F79)))</f>
        <v/>
      </c>
      <c r="E79" s="50" t="str">
        <f>IF($F79=0,"",INDEX(Encargado!$Y$9:$Y$128,$F79)&amp;CHAR(10)&amp;"Vto. previsto: "&amp;TEXT(INDEX(Encargado!$Q$9:$Q$128,$F79),"dd/mm/yy"))</f>
        <v/>
      </c>
      <c r="F79">
        <f>IFERROR(MATCH(72,Encargado!$V$9:$V$128,0),0)</f>
        <v>0</v>
      </c>
    </row>
    <row r="80" spans="1:6" ht="67" customHeight="1">
      <c r="A80" s="50" t="str">
        <f>IF($F80=0,"",INDEX(Encargado!$AL$9:$AL$128,$F80))</f>
        <v/>
      </c>
      <c r="B80" s="50" t="str">
        <f>IF($F80=0,"",INDEX(Encargado!$A$9:$A$128,$F80)&amp;IF(INDEX(Encargado!$L$9:$L$128,$F80)="Adelanto"," · Adelanto para stock","")&amp;IF(AND(ISNUMBER(INDEX(Encargado!$D$9:$D$128,$F80)),ISNUMBER(INDEX(Encargado!$E$9:$E$128,$F80))),CHAR(10)&amp;TEXT(INDEX(Encargado!$D$9:$D$128,$F80),"dd/mm")&amp;" al "&amp;TEXT(INDEX(Encargado!$E$9:$E$128,$F80),"dd/mm"),""))</f>
        <v/>
      </c>
      <c r="C80" s="51" t="str">
        <f>IF($F80=0,"",ROUND(INDEX(Encargado!$J$9:$J$128,$F80),3)&amp;" "&amp;INDEX(Encargado!$F$9:$F$128,$F80))</f>
        <v/>
      </c>
      <c r="D80" s="52" t="str">
        <f>IF($F80=0,"",IF(INDEX(Encargado!$L$9:$L$128,$F80)="Adelanto","Prev. "&amp;TEXT(INDEX(Encargado!$C$9:$C$128,$F80),"dd/mm"),INDEX(Encargado!$C$9:$C$128,$F80)))</f>
        <v/>
      </c>
      <c r="E80" s="50" t="str">
        <f>IF($F80=0,"",INDEX(Encargado!$Y$9:$Y$128,$F80)&amp;CHAR(10)&amp;"Vto. previsto: "&amp;TEXT(INDEX(Encargado!$Q$9:$Q$128,$F80),"dd/mm/yy"))</f>
        <v/>
      </c>
      <c r="F80">
        <f>IFERROR(MATCH(73,Encargado!$V$9:$V$128,0),0)</f>
        <v>0</v>
      </c>
    </row>
    <row r="81" spans="1:6" ht="67" customHeight="1">
      <c r="A81" s="50" t="str">
        <f>IF($F81=0,"",INDEX(Encargado!$AL$9:$AL$128,$F81))</f>
        <v/>
      </c>
      <c r="B81" s="50" t="str">
        <f>IF($F81=0,"",INDEX(Encargado!$A$9:$A$128,$F81)&amp;IF(INDEX(Encargado!$L$9:$L$128,$F81)="Adelanto"," · Adelanto para stock","")&amp;IF(AND(ISNUMBER(INDEX(Encargado!$D$9:$D$128,$F81)),ISNUMBER(INDEX(Encargado!$E$9:$E$128,$F81))),CHAR(10)&amp;TEXT(INDEX(Encargado!$D$9:$D$128,$F81),"dd/mm")&amp;" al "&amp;TEXT(INDEX(Encargado!$E$9:$E$128,$F81),"dd/mm"),""))</f>
        <v/>
      </c>
      <c r="C81" s="51" t="str">
        <f>IF($F81=0,"",ROUND(INDEX(Encargado!$J$9:$J$128,$F81),3)&amp;" "&amp;INDEX(Encargado!$F$9:$F$128,$F81))</f>
        <v/>
      </c>
      <c r="D81" s="52" t="str">
        <f>IF($F81=0,"",IF(INDEX(Encargado!$L$9:$L$128,$F81)="Adelanto","Prev. "&amp;TEXT(INDEX(Encargado!$C$9:$C$128,$F81),"dd/mm"),INDEX(Encargado!$C$9:$C$128,$F81)))</f>
        <v/>
      </c>
      <c r="E81" s="50" t="str">
        <f>IF($F81=0,"",INDEX(Encargado!$Y$9:$Y$128,$F81)&amp;CHAR(10)&amp;"Vto. previsto: "&amp;TEXT(INDEX(Encargado!$Q$9:$Q$128,$F81),"dd/mm/yy"))</f>
        <v/>
      </c>
      <c r="F81">
        <f>IFERROR(MATCH(74,Encargado!$V$9:$V$128,0),0)</f>
        <v>0</v>
      </c>
    </row>
    <row r="82" spans="1:6" ht="67" customHeight="1">
      <c r="A82" s="50" t="str">
        <f>IF($F82=0,"",INDEX(Encargado!$AL$9:$AL$128,$F82))</f>
        <v/>
      </c>
      <c r="B82" s="50" t="str">
        <f>IF($F82=0,"",INDEX(Encargado!$A$9:$A$128,$F82)&amp;IF(INDEX(Encargado!$L$9:$L$128,$F82)="Adelanto"," · Adelanto para stock","")&amp;IF(AND(ISNUMBER(INDEX(Encargado!$D$9:$D$128,$F82)),ISNUMBER(INDEX(Encargado!$E$9:$E$128,$F82))),CHAR(10)&amp;TEXT(INDEX(Encargado!$D$9:$D$128,$F82),"dd/mm")&amp;" al "&amp;TEXT(INDEX(Encargado!$E$9:$E$128,$F82),"dd/mm"),""))</f>
        <v/>
      </c>
      <c r="C82" s="51" t="str">
        <f>IF($F82=0,"",ROUND(INDEX(Encargado!$J$9:$J$128,$F82),3)&amp;" "&amp;INDEX(Encargado!$F$9:$F$128,$F82))</f>
        <v/>
      </c>
      <c r="D82" s="52" t="str">
        <f>IF($F82=0,"",IF(INDEX(Encargado!$L$9:$L$128,$F82)="Adelanto","Prev. "&amp;TEXT(INDEX(Encargado!$C$9:$C$128,$F82),"dd/mm"),INDEX(Encargado!$C$9:$C$128,$F82)))</f>
        <v/>
      </c>
      <c r="E82" s="50" t="str">
        <f>IF($F82=0,"",INDEX(Encargado!$Y$9:$Y$128,$F82)&amp;CHAR(10)&amp;"Vto. previsto: "&amp;TEXT(INDEX(Encargado!$Q$9:$Q$128,$F82),"dd/mm/yy"))</f>
        <v/>
      </c>
      <c r="F82">
        <f>IFERROR(MATCH(75,Encargado!$V$9:$V$128,0),0)</f>
        <v>0</v>
      </c>
    </row>
    <row r="83" spans="1:6" ht="67" customHeight="1">
      <c r="A83" s="50" t="str">
        <f>IF($F83=0,"",INDEX(Encargado!$AL$9:$AL$128,$F83))</f>
        <v/>
      </c>
      <c r="B83" s="50" t="str">
        <f>IF($F83=0,"",INDEX(Encargado!$A$9:$A$128,$F83)&amp;IF(INDEX(Encargado!$L$9:$L$128,$F83)="Adelanto"," · Adelanto para stock","")&amp;IF(AND(ISNUMBER(INDEX(Encargado!$D$9:$D$128,$F83)),ISNUMBER(INDEX(Encargado!$E$9:$E$128,$F83))),CHAR(10)&amp;TEXT(INDEX(Encargado!$D$9:$D$128,$F83),"dd/mm")&amp;" al "&amp;TEXT(INDEX(Encargado!$E$9:$E$128,$F83),"dd/mm"),""))</f>
        <v/>
      </c>
      <c r="C83" s="51" t="str">
        <f>IF($F83=0,"",ROUND(INDEX(Encargado!$J$9:$J$128,$F83),3)&amp;" "&amp;INDEX(Encargado!$F$9:$F$128,$F83))</f>
        <v/>
      </c>
      <c r="D83" s="52" t="str">
        <f>IF($F83=0,"",IF(INDEX(Encargado!$L$9:$L$128,$F83)="Adelanto","Prev. "&amp;TEXT(INDEX(Encargado!$C$9:$C$128,$F83),"dd/mm"),INDEX(Encargado!$C$9:$C$128,$F83)))</f>
        <v/>
      </c>
      <c r="E83" s="50" t="str">
        <f>IF($F83=0,"",INDEX(Encargado!$Y$9:$Y$128,$F83)&amp;CHAR(10)&amp;"Vto. previsto: "&amp;TEXT(INDEX(Encargado!$Q$9:$Q$128,$F83),"dd/mm/yy"))</f>
        <v/>
      </c>
      <c r="F83">
        <f>IFERROR(MATCH(76,Encargado!$V$9:$V$128,0),0)</f>
        <v>0</v>
      </c>
    </row>
    <row r="84" spans="1:6" ht="67" customHeight="1">
      <c r="A84" s="50" t="str">
        <f>IF($F84=0,"",INDEX(Encargado!$AL$9:$AL$128,$F84))</f>
        <v/>
      </c>
      <c r="B84" s="50" t="str">
        <f>IF($F84=0,"",INDEX(Encargado!$A$9:$A$128,$F84)&amp;IF(INDEX(Encargado!$L$9:$L$128,$F84)="Adelanto"," · Adelanto para stock","")&amp;IF(AND(ISNUMBER(INDEX(Encargado!$D$9:$D$128,$F84)),ISNUMBER(INDEX(Encargado!$E$9:$E$128,$F84))),CHAR(10)&amp;TEXT(INDEX(Encargado!$D$9:$D$128,$F84),"dd/mm")&amp;" al "&amp;TEXT(INDEX(Encargado!$E$9:$E$128,$F84),"dd/mm"),""))</f>
        <v/>
      </c>
      <c r="C84" s="51" t="str">
        <f>IF($F84=0,"",ROUND(INDEX(Encargado!$J$9:$J$128,$F84),3)&amp;" "&amp;INDEX(Encargado!$F$9:$F$128,$F84))</f>
        <v/>
      </c>
      <c r="D84" s="52" t="str">
        <f>IF($F84=0,"",IF(INDEX(Encargado!$L$9:$L$128,$F84)="Adelanto","Prev. "&amp;TEXT(INDEX(Encargado!$C$9:$C$128,$F84),"dd/mm"),INDEX(Encargado!$C$9:$C$128,$F84)))</f>
        <v/>
      </c>
      <c r="E84" s="50" t="str">
        <f>IF($F84=0,"",INDEX(Encargado!$Y$9:$Y$128,$F84)&amp;CHAR(10)&amp;"Vto. previsto: "&amp;TEXT(INDEX(Encargado!$Q$9:$Q$128,$F84),"dd/mm/yy"))</f>
        <v/>
      </c>
      <c r="F84">
        <f>IFERROR(MATCH(77,Encargado!$V$9:$V$128,0),0)</f>
        <v>0</v>
      </c>
    </row>
    <row r="85" spans="1:6" ht="67" customHeight="1">
      <c r="A85" s="50" t="str">
        <f>IF($F85=0,"",INDEX(Encargado!$AL$9:$AL$128,$F85))</f>
        <v/>
      </c>
      <c r="B85" s="50" t="str">
        <f>IF($F85=0,"",INDEX(Encargado!$A$9:$A$128,$F85)&amp;IF(INDEX(Encargado!$L$9:$L$128,$F85)="Adelanto"," · Adelanto para stock","")&amp;IF(AND(ISNUMBER(INDEX(Encargado!$D$9:$D$128,$F85)),ISNUMBER(INDEX(Encargado!$E$9:$E$128,$F85))),CHAR(10)&amp;TEXT(INDEX(Encargado!$D$9:$D$128,$F85),"dd/mm")&amp;" al "&amp;TEXT(INDEX(Encargado!$E$9:$E$128,$F85),"dd/mm"),""))</f>
        <v/>
      </c>
      <c r="C85" s="51" t="str">
        <f>IF($F85=0,"",ROUND(INDEX(Encargado!$J$9:$J$128,$F85),3)&amp;" "&amp;INDEX(Encargado!$F$9:$F$128,$F85))</f>
        <v/>
      </c>
      <c r="D85" s="52" t="str">
        <f>IF($F85=0,"",IF(INDEX(Encargado!$L$9:$L$128,$F85)="Adelanto","Prev. "&amp;TEXT(INDEX(Encargado!$C$9:$C$128,$F85),"dd/mm"),INDEX(Encargado!$C$9:$C$128,$F85)))</f>
        <v/>
      </c>
      <c r="E85" s="50" t="str">
        <f>IF($F85=0,"",INDEX(Encargado!$Y$9:$Y$128,$F85)&amp;CHAR(10)&amp;"Vto. previsto: "&amp;TEXT(INDEX(Encargado!$Q$9:$Q$128,$F85),"dd/mm/yy"))</f>
        <v/>
      </c>
      <c r="F85">
        <f>IFERROR(MATCH(78,Encargado!$V$9:$V$128,0),0)</f>
        <v>0</v>
      </c>
    </row>
    <row r="86" spans="1:6" ht="67" customHeight="1">
      <c r="A86" s="50" t="str">
        <f>IF($F86=0,"",INDEX(Encargado!$AL$9:$AL$128,$F86))</f>
        <v/>
      </c>
      <c r="B86" s="50" t="str">
        <f>IF($F86=0,"",INDEX(Encargado!$A$9:$A$128,$F86)&amp;IF(INDEX(Encargado!$L$9:$L$128,$F86)="Adelanto"," · Adelanto para stock","")&amp;IF(AND(ISNUMBER(INDEX(Encargado!$D$9:$D$128,$F86)),ISNUMBER(INDEX(Encargado!$E$9:$E$128,$F86))),CHAR(10)&amp;TEXT(INDEX(Encargado!$D$9:$D$128,$F86),"dd/mm")&amp;" al "&amp;TEXT(INDEX(Encargado!$E$9:$E$128,$F86),"dd/mm"),""))</f>
        <v/>
      </c>
      <c r="C86" s="51" t="str">
        <f>IF($F86=0,"",ROUND(INDEX(Encargado!$J$9:$J$128,$F86),3)&amp;" "&amp;INDEX(Encargado!$F$9:$F$128,$F86))</f>
        <v/>
      </c>
      <c r="D86" s="52" t="str">
        <f>IF($F86=0,"",IF(INDEX(Encargado!$L$9:$L$128,$F86)="Adelanto","Prev. "&amp;TEXT(INDEX(Encargado!$C$9:$C$128,$F86),"dd/mm"),INDEX(Encargado!$C$9:$C$128,$F86)))</f>
        <v/>
      </c>
      <c r="E86" s="50" t="str">
        <f>IF($F86=0,"",INDEX(Encargado!$Y$9:$Y$128,$F86)&amp;CHAR(10)&amp;"Vto. previsto: "&amp;TEXT(INDEX(Encargado!$Q$9:$Q$128,$F86),"dd/mm/yy"))</f>
        <v/>
      </c>
      <c r="F86">
        <f>IFERROR(MATCH(79,Encargado!$V$9:$V$128,0),0)</f>
        <v>0</v>
      </c>
    </row>
    <row r="87" spans="1:6" ht="67" customHeight="1">
      <c r="A87" s="50" t="str">
        <f>IF($F87=0,"",INDEX(Encargado!$AL$9:$AL$128,$F87))</f>
        <v/>
      </c>
      <c r="B87" s="50" t="str">
        <f>IF($F87=0,"",INDEX(Encargado!$A$9:$A$128,$F87)&amp;IF(INDEX(Encargado!$L$9:$L$128,$F87)="Adelanto"," · Adelanto para stock","")&amp;IF(AND(ISNUMBER(INDEX(Encargado!$D$9:$D$128,$F87)),ISNUMBER(INDEX(Encargado!$E$9:$E$128,$F87))),CHAR(10)&amp;TEXT(INDEX(Encargado!$D$9:$D$128,$F87),"dd/mm")&amp;" al "&amp;TEXT(INDEX(Encargado!$E$9:$E$128,$F87),"dd/mm"),""))</f>
        <v/>
      </c>
      <c r="C87" s="51" t="str">
        <f>IF($F87=0,"",ROUND(INDEX(Encargado!$J$9:$J$128,$F87),3)&amp;" "&amp;INDEX(Encargado!$F$9:$F$128,$F87))</f>
        <v/>
      </c>
      <c r="D87" s="52" t="str">
        <f>IF($F87=0,"",IF(INDEX(Encargado!$L$9:$L$128,$F87)="Adelanto","Prev. "&amp;TEXT(INDEX(Encargado!$C$9:$C$128,$F87),"dd/mm"),INDEX(Encargado!$C$9:$C$128,$F87)))</f>
        <v/>
      </c>
      <c r="E87" s="50" t="str">
        <f>IF($F87=0,"",INDEX(Encargado!$Y$9:$Y$128,$F87)&amp;CHAR(10)&amp;"Vto. previsto: "&amp;TEXT(INDEX(Encargado!$Q$9:$Q$128,$F87),"dd/mm/yy"))</f>
        <v/>
      </c>
      <c r="F87">
        <f>IFERROR(MATCH(80,Encargado!$V$9:$V$128,0),0)</f>
        <v>0</v>
      </c>
    </row>
    <row r="88" spans="1:6" ht="67" customHeight="1">
      <c r="A88" s="53" t="str">
        <f>IF($F88=0,"",INDEX(Encargado!$AL$9:$AL$128,$F88))</f>
        <v/>
      </c>
      <c r="B88" s="53" t="str">
        <f>IF($F88=0,"",INDEX(Encargado!$A$9:$A$128,$F88)&amp;IF(INDEX(Encargado!$L$9:$L$128,$F88)="Adelanto"," · Adelanto para stock","")&amp;IF(AND(ISNUMBER(INDEX(Encargado!$D$9:$D$128,$F88)),ISNUMBER(INDEX(Encargado!$E$9:$E$128,$F88))),CHAR(10)&amp;TEXT(INDEX(Encargado!$D$9:$D$128,$F88),"dd/mm")&amp;" al "&amp;TEXT(INDEX(Encargado!$E$9:$E$128,$F88),"dd/mm"),""))</f>
        <v/>
      </c>
      <c r="C88" s="53" t="str">
        <f>IF($F88=0,"",ROUND(INDEX(Encargado!$J$9:$J$128,$F88),3)&amp;" "&amp;INDEX(Encargado!$F$9:$F$128,$F88))</f>
        <v/>
      </c>
      <c r="D88" s="54" t="str">
        <f>IF($F88=0,"",IF(INDEX(Encargado!$L$9:$L$128,$F88)="Adelanto","Prev. "&amp;TEXT(INDEX(Encargado!$C$9:$C$128,$F88),"dd/mm"),INDEX(Encargado!$C$9:$C$128,$F88)))</f>
        <v/>
      </c>
      <c r="E88" s="50" t="str">
        <f>IF($F88=0,"",INDEX(Encargado!$Y$9:$Y$128,$F88)&amp;CHAR(10)&amp;"Vto. previsto: "&amp;TEXT(INDEX(Encargado!$Q$9:$Q$128,$F88),"dd/mm/yy"))</f>
        <v/>
      </c>
      <c r="F88">
        <f>IFERROR(MATCH(81,Encargado!$V$9:$V$128,0),0)</f>
        <v>0</v>
      </c>
    </row>
    <row r="89" spans="1:6" ht="67" customHeight="1">
      <c r="A89" s="53" t="str">
        <f>IF($F89=0,"",INDEX(Encargado!$AL$9:$AL$128,$F89))</f>
        <v/>
      </c>
      <c r="B89" s="53" t="str">
        <f>IF($F89=0,"",INDEX(Encargado!$A$9:$A$128,$F89)&amp;IF(INDEX(Encargado!$L$9:$L$128,$F89)="Adelanto"," · Adelanto para stock","")&amp;IF(AND(ISNUMBER(INDEX(Encargado!$D$9:$D$128,$F89)),ISNUMBER(INDEX(Encargado!$E$9:$E$128,$F89))),CHAR(10)&amp;TEXT(INDEX(Encargado!$D$9:$D$128,$F89),"dd/mm")&amp;" al "&amp;TEXT(INDEX(Encargado!$E$9:$E$128,$F89),"dd/mm"),""))</f>
        <v/>
      </c>
      <c r="C89" s="53" t="str">
        <f>IF($F89=0,"",ROUND(INDEX(Encargado!$J$9:$J$128,$F89),3)&amp;" "&amp;INDEX(Encargado!$F$9:$F$128,$F89))</f>
        <v/>
      </c>
      <c r="D89" s="54" t="str">
        <f>IF($F89=0,"",IF(INDEX(Encargado!$L$9:$L$128,$F89)="Adelanto","Prev. "&amp;TEXT(INDEX(Encargado!$C$9:$C$128,$F89),"dd/mm"),INDEX(Encargado!$C$9:$C$128,$F89)))</f>
        <v/>
      </c>
      <c r="E89" s="50" t="str">
        <f>IF($F89=0,"",INDEX(Encargado!$Y$9:$Y$128,$F89)&amp;CHAR(10)&amp;"Vto. previsto: "&amp;TEXT(INDEX(Encargado!$Q$9:$Q$128,$F89),"dd/mm/yy"))</f>
        <v/>
      </c>
      <c r="F89">
        <f>IFERROR(MATCH(82,Encargado!$V$9:$V$128,0),0)</f>
        <v>0</v>
      </c>
    </row>
    <row r="90" spans="1:6" ht="67" customHeight="1">
      <c r="A90" s="53" t="str">
        <f>IF($F90=0,"",INDEX(Encargado!$AL$9:$AL$128,$F90))</f>
        <v/>
      </c>
      <c r="B90" s="53" t="str">
        <f>IF($F90=0,"",INDEX(Encargado!$A$9:$A$128,$F90)&amp;IF(INDEX(Encargado!$L$9:$L$128,$F90)="Adelanto"," · Adelanto para stock","")&amp;IF(AND(ISNUMBER(INDEX(Encargado!$D$9:$D$128,$F90)),ISNUMBER(INDEX(Encargado!$E$9:$E$128,$F90))),CHAR(10)&amp;TEXT(INDEX(Encargado!$D$9:$D$128,$F90),"dd/mm")&amp;" al "&amp;TEXT(INDEX(Encargado!$E$9:$E$128,$F90),"dd/mm"),""))</f>
        <v/>
      </c>
      <c r="C90" s="53" t="str">
        <f>IF($F90=0,"",ROUND(INDEX(Encargado!$J$9:$J$128,$F90),3)&amp;" "&amp;INDEX(Encargado!$F$9:$F$128,$F90))</f>
        <v/>
      </c>
      <c r="D90" s="54" t="str">
        <f>IF($F90=0,"",IF(INDEX(Encargado!$L$9:$L$128,$F90)="Adelanto","Prev. "&amp;TEXT(INDEX(Encargado!$C$9:$C$128,$F90),"dd/mm"),INDEX(Encargado!$C$9:$C$128,$F90)))</f>
        <v/>
      </c>
      <c r="E90" s="50" t="str">
        <f>IF($F90=0,"",INDEX(Encargado!$Y$9:$Y$128,$F90)&amp;CHAR(10)&amp;"Vto. previsto: "&amp;TEXT(INDEX(Encargado!$Q$9:$Q$128,$F90),"dd/mm/yy"))</f>
        <v/>
      </c>
      <c r="F90">
        <f>IFERROR(MATCH(83,Encargado!$V$9:$V$128,0),0)</f>
        <v>0</v>
      </c>
    </row>
    <row r="91" spans="1:6" ht="67" customHeight="1">
      <c r="A91" s="53" t="str">
        <f>IF($F91=0,"",INDEX(Encargado!$AL$9:$AL$128,$F91))</f>
        <v/>
      </c>
      <c r="B91" s="53" t="str">
        <f>IF($F91=0,"",INDEX(Encargado!$A$9:$A$128,$F91)&amp;IF(INDEX(Encargado!$L$9:$L$128,$F91)="Adelanto"," · Adelanto para stock","")&amp;IF(AND(ISNUMBER(INDEX(Encargado!$D$9:$D$128,$F91)),ISNUMBER(INDEX(Encargado!$E$9:$E$128,$F91))),CHAR(10)&amp;TEXT(INDEX(Encargado!$D$9:$D$128,$F91),"dd/mm")&amp;" al "&amp;TEXT(INDEX(Encargado!$E$9:$E$128,$F91),"dd/mm"),""))</f>
        <v/>
      </c>
      <c r="C91" s="53" t="str">
        <f>IF($F91=0,"",ROUND(INDEX(Encargado!$J$9:$J$128,$F91),3)&amp;" "&amp;INDEX(Encargado!$F$9:$F$128,$F91))</f>
        <v/>
      </c>
      <c r="D91" s="54" t="str">
        <f>IF($F91=0,"",IF(INDEX(Encargado!$L$9:$L$128,$F91)="Adelanto","Prev. "&amp;TEXT(INDEX(Encargado!$C$9:$C$128,$F91),"dd/mm"),INDEX(Encargado!$C$9:$C$128,$F91)))</f>
        <v/>
      </c>
      <c r="E91" s="50" t="str">
        <f>IF($F91=0,"",INDEX(Encargado!$Y$9:$Y$128,$F91)&amp;CHAR(10)&amp;"Vto. previsto: "&amp;TEXT(INDEX(Encargado!$Q$9:$Q$128,$F91),"dd/mm/yy"))</f>
        <v/>
      </c>
      <c r="F91">
        <f>IFERROR(MATCH(84,Encargado!$V$9:$V$128,0),0)</f>
        <v>0</v>
      </c>
    </row>
    <row r="92" spans="1:6" ht="67" customHeight="1">
      <c r="A92" s="53" t="str">
        <f>IF($F92=0,"",INDEX(Encargado!$AL$9:$AL$128,$F92))</f>
        <v/>
      </c>
      <c r="B92" s="53" t="str">
        <f>IF($F92=0,"",INDEX(Encargado!$A$9:$A$128,$F92)&amp;IF(INDEX(Encargado!$L$9:$L$128,$F92)="Adelanto"," · Adelanto para stock","")&amp;IF(AND(ISNUMBER(INDEX(Encargado!$D$9:$D$128,$F92)),ISNUMBER(INDEX(Encargado!$E$9:$E$128,$F92))),CHAR(10)&amp;TEXT(INDEX(Encargado!$D$9:$D$128,$F92),"dd/mm")&amp;" al "&amp;TEXT(INDEX(Encargado!$E$9:$E$128,$F92),"dd/mm"),""))</f>
        <v/>
      </c>
      <c r="C92" s="53" t="str">
        <f>IF($F92=0,"",ROUND(INDEX(Encargado!$J$9:$J$128,$F92),3)&amp;" "&amp;INDEX(Encargado!$F$9:$F$128,$F92))</f>
        <v/>
      </c>
      <c r="D92" s="54" t="str">
        <f>IF($F92=0,"",IF(INDEX(Encargado!$L$9:$L$128,$F92)="Adelanto","Prev. "&amp;TEXT(INDEX(Encargado!$C$9:$C$128,$F92),"dd/mm"),INDEX(Encargado!$C$9:$C$128,$F92)))</f>
        <v/>
      </c>
      <c r="E92" s="50" t="str">
        <f>IF($F92=0,"",INDEX(Encargado!$Y$9:$Y$128,$F92)&amp;CHAR(10)&amp;"Vto. previsto: "&amp;TEXT(INDEX(Encargado!$Q$9:$Q$128,$F92),"dd/mm/yy"))</f>
        <v/>
      </c>
      <c r="F92">
        <f>IFERROR(MATCH(85,Encargado!$V$9:$V$128,0),0)</f>
        <v>0</v>
      </c>
    </row>
    <row r="93" spans="1:6" ht="67" customHeight="1">
      <c r="A93" s="53" t="str">
        <f>IF($F93=0,"",INDEX(Encargado!$AL$9:$AL$128,$F93))</f>
        <v/>
      </c>
      <c r="B93" s="53" t="str">
        <f>IF($F93=0,"",INDEX(Encargado!$A$9:$A$128,$F93)&amp;IF(INDEX(Encargado!$L$9:$L$128,$F93)="Adelanto"," · Adelanto para stock","")&amp;IF(AND(ISNUMBER(INDEX(Encargado!$D$9:$D$128,$F93)),ISNUMBER(INDEX(Encargado!$E$9:$E$128,$F93))),CHAR(10)&amp;TEXT(INDEX(Encargado!$D$9:$D$128,$F93),"dd/mm")&amp;" al "&amp;TEXT(INDEX(Encargado!$E$9:$E$128,$F93),"dd/mm"),""))</f>
        <v/>
      </c>
      <c r="C93" s="53" t="str">
        <f>IF($F93=0,"",ROUND(INDEX(Encargado!$J$9:$J$128,$F93),3)&amp;" "&amp;INDEX(Encargado!$F$9:$F$128,$F93))</f>
        <v/>
      </c>
      <c r="D93" s="54" t="str">
        <f>IF($F93=0,"",IF(INDEX(Encargado!$L$9:$L$128,$F93)="Adelanto","Prev. "&amp;TEXT(INDEX(Encargado!$C$9:$C$128,$F93),"dd/mm"),INDEX(Encargado!$C$9:$C$128,$F93)))</f>
        <v/>
      </c>
      <c r="E93" s="50" t="str">
        <f>IF($F93=0,"",INDEX(Encargado!$Y$9:$Y$128,$F93)&amp;CHAR(10)&amp;"Vto. previsto: "&amp;TEXT(INDEX(Encargado!$Q$9:$Q$128,$F93),"dd/mm/yy"))</f>
        <v/>
      </c>
      <c r="F93">
        <f>IFERROR(MATCH(86,Encargado!$V$9:$V$128,0),0)</f>
        <v>0</v>
      </c>
    </row>
    <row r="94" spans="1:6" ht="67" customHeight="1">
      <c r="A94" s="53" t="str">
        <f>IF($F94=0,"",INDEX(Encargado!$AL$9:$AL$128,$F94))</f>
        <v/>
      </c>
      <c r="B94" s="53" t="str">
        <f>IF($F94=0,"",INDEX(Encargado!$A$9:$A$128,$F94)&amp;IF(INDEX(Encargado!$L$9:$L$128,$F94)="Adelanto"," · Adelanto para stock","")&amp;IF(AND(ISNUMBER(INDEX(Encargado!$D$9:$D$128,$F94)),ISNUMBER(INDEX(Encargado!$E$9:$E$128,$F94))),CHAR(10)&amp;TEXT(INDEX(Encargado!$D$9:$D$128,$F94),"dd/mm")&amp;" al "&amp;TEXT(INDEX(Encargado!$E$9:$E$128,$F94),"dd/mm"),""))</f>
        <v/>
      </c>
      <c r="C94" s="53" t="str">
        <f>IF($F94=0,"",ROUND(INDEX(Encargado!$J$9:$J$128,$F94),3)&amp;" "&amp;INDEX(Encargado!$F$9:$F$128,$F94))</f>
        <v/>
      </c>
      <c r="D94" s="54" t="str">
        <f>IF($F94=0,"",IF(INDEX(Encargado!$L$9:$L$128,$F94)="Adelanto","Prev. "&amp;TEXT(INDEX(Encargado!$C$9:$C$128,$F94),"dd/mm"),INDEX(Encargado!$C$9:$C$128,$F94)))</f>
        <v/>
      </c>
      <c r="E94" s="50" t="str">
        <f>IF($F94=0,"",INDEX(Encargado!$Y$9:$Y$128,$F94)&amp;CHAR(10)&amp;"Vto. previsto: "&amp;TEXT(INDEX(Encargado!$Q$9:$Q$128,$F94),"dd/mm/yy"))</f>
        <v/>
      </c>
      <c r="F94">
        <f>IFERROR(MATCH(87,Encargado!$V$9:$V$128,0),0)</f>
        <v>0</v>
      </c>
    </row>
    <row r="95" spans="1:6" ht="67" customHeight="1">
      <c r="A95" s="53" t="str">
        <f>IF($F95=0,"",INDEX(Encargado!$AL$9:$AL$128,$F95))</f>
        <v/>
      </c>
      <c r="B95" s="53" t="str">
        <f>IF($F95=0,"",INDEX(Encargado!$A$9:$A$128,$F95)&amp;IF(INDEX(Encargado!$L$9:$L$128,$F95)="Adelanto"," · Adelanto para stock","")&amp;IF(AND(ISNUMBER(INDEX(Encargado!$D$9:$D$128,$F95)),ISNUMBER(INDEX(Encargado!$E$9:$E$128,$F95))),CHAR(10)&amp;TEXT(INDEX(Encargado!$D$9:$D$128,$F95),"dd/mm")&amp;" al "&amp;TEXT(INDEX(Encargado!$E$9:$E$128,$F95),"dd/mm"),""))</f>
        <v/>
      </c>
      <c r="C95" s="53" t="str">
        <f>IF($F95=0,"",ROUND(INDEX(Encargado!$J$9:$J$128,$F95),3)&amp;" "&amp;INDEX(Encargado!$F$9:$F$128,$F95))</f>
        <v/>
      </c>
      <c r="D95" s="54" t="str">
        <f>IF($F95=0,"",IF(INDEX(Encargado!$L$9:$L$128,$F95)="Adelanto","Prev. "&amp;TEXT(INDEX(Encargado!$C$9:$C$128,$F95),"dd/mm"),INDEX(Encargado!$C$9:$C$128,$F95)))</f>
        <v/>
      </c>
      <c r="E95" s="50" t="str">
        <f>IF($F95=0,"",INDEX(Encargado!$Y$9:$Y$128,$F95)&amp;CHAR(10)&amp;"Vto. previsto: "&amp;TEXT(INDEX(Encargado!$Q$9:$Q$128,$F95),"dd/mm/yy"))</f>
        <v/>
      </c>
      <c r="F95">
        <f>IFERROR(MATCH(88,Encargado!$V$9:$V$128,0),0)</f>
        <v>0</v>
      </c>
    </row>
    <row r="96" spans="1:6" ht="67" customHeight="1">
      <c r="A96" s="53" t="str">
        <f>IF($F96=0,"",INDEX(Encargado!$AL$9:$AL$128,$F96))</f>
        <v/>
      </c>
      <c r="B96" s="53" t="str">
        <f>IF($F96=0,"",INDEX(Encargado!$A$9:$A$128,$F96)&amp;IF(INDEX(Encargado!$L$9:$L$128,$F96)="Adelanto"," · Adelanto para stock","")&amp;IF(AND(ISNUMBER(INDEX(Encargado!$D$9:$D$128,$F96)),ISNUMBER(INDEX(Encargado!$E$9:$E$128,$F96))),CHAR(10)&amp;TEXT(INDEX(Encargado!$D$9:$D$128,$F96),"dd/mm")&amp;" al "&amp;TEXT(INDEX(Encargado!$E$9:$E$128,$F96),"dd/mm"),""))</f>
        <v/>
      </c>
      <c r="C96" s="53" t="str">
        <f>IF($F96=0,"",ROUND(INDEX(Encargado!$J$9:$J$128,$F96),3)&amp;" "&amp;INDEX(Encargado!$F$9:$F$128,$F96))</f>
        <v/>
      </c>
      <c r="D96" s="54" t="str">
        <f>IF($F96=0,"",IF(INDEX(Encargado!$L$9:$L$128,$F96)="Adelanto","Prev. "&amp;TEXT(INDEX(Encargado!$C$9:$C$128,$F96),"dd/mm"),INDEX(Encargado!$C$9:$C$128,$F96)))</f>
        <v/>
      </c>
      <c r="E96" s="50" t="str">
        <f>IF($F96=0,"",INDEX(Encargado!$Y$9:$Y$128,$F96)&amp;CHAR(10)&amp;"Vto. previsto: "&amp;TEXT(INDEX(Encargado!$Q$9:$Q$128,$F96),"dd/mm/yy"))</f>
        <v/>
      </c>
      <c r="F96">
        <f>IFERROR(MATCH(89,Encargado!$V$9:$V$128,0),0)</f>
        <v>0</v>
      </c>
    </row>
    <row r="97" spans="1:6" ht="67" customHeight="1">
      <c r="A97" s="53" t="str">
        <f>IF($F97=0,"",INDEX(Encargado!$AL$9:$AL$128,$F97))</f>
        <v/>
      </c>
      <c r="B97" s="53" t="str">
        <f>IF($F97=0,"",INDEX(Encargado!$A$9:$A$128,$F97)&amp;IF(INDEX(Encargado!$L$9:$L$128,$F97)="Adelanto"," · Adelanto para stock","")&amp;IF(AND(ISNUMBER(INDEX(Encargado!$D$9:$D$128,$F97)),ISNUMBER(INDEX(Encargado!$E$9:$E$128,$F97))),CHAR(10)&amp;TEXT(INDEX(Encargado!$D$9:$D$128,$F97),"dd/mm")&amp;" al "&amp;TEXT(INDEX(Encargado!$E$9:$E$128,$F97),"dd/mm"),""))</f>
        <v/>
      </c>
      <c r="C97" s="53" t="str">
        <f>IF($F97=0,"",ROUND(INDEX(Encargado!$J$9:$J$128,$F97),3)&amp;" "&amp;INDEX(Encargado!$F$9:$F$128,$F97))</f>
        <v/>
      </c>
      <c r="D97" s="54" t="str">
        <f>IF($F97=0,"",IF(INDEX(Encargado!$L$9:$L$128,$F97)="Adelanto","Prev. "&amp;TEXT(INDEX(Encargado!$C$9:$C$128,$F97),"dd/mm"),INDEX(Encargado!$C$9:$C$128,$F97)))</f>
        <v/>
      </c>
      <c r="E97" s="50" t="str">
        <f>IF($F97=0,"",INDEX(Encargado!$Y$9:$Y$128,$F97)&amp;CHAR(10)&amp;"Vto. previsto: "&amp;TEXT(INDEX(Encargado!$Q$9:$Q$128,$F97),"dd/mm/yy"))</f>
        <v/>
      </c>
      <c r="F97">
        <f>IFERROR(MATCH(90,Encargado!$V$9:$V$128,0),0)</f>
        <v>0</v>
      </c>
    </row>
    <row r="98" spans="1:6" ht="67" customHeight="1">
      <c r="A98" s="53" t="str">
        <f>IF($F98=0,"",INDEX(Encargado!$AL$9:$AL$128,$F98))</f>
        <v/>
      </c>
      <c r="B98" s="53" t="str">
        <f>IF($F98=0,"",INDEX(Encargado!$A$9:$A$128,$F98)&amp;IF(INDEX(Encargado!$L$9:$L$128,$F98)="Adelanto"," · Adelanto para stock","")&amp;IF(AND(ISNUMBER(INDEX(Encargado!$D$9:$D$128,$F98)),ISNUMBER(INDEX(Encargado!$E$9:$E$128,$F98))),CHAR(10)&amp;TEXT(INDEX(Encargado!$D$9:$D$128,$F98),"dd/mm")&amp;" al "&amp;TEXT(INDEX(Encargado!$E$9:$E$128,$F98),"dd/mm"),""))</f>
        <v/>
      </c>
      <c r="C98" s="53" t="str">
        <f>IF($F98=0,"",ROUND(INDEX(Encargado!$J$9:$J$128,$F98),3)&amp;" "&amp;INDEX(Encargado!$F$9:$F$128,$F98))</f>
        <v/>
      </c>
      <c r="D98" s="54" t="str">
        <f>IF($F98=0,"",IF(INDEX(Encargado!$L$9:$L$128,$F98)="Adelanto","Prev. "&amp;TEXT(INDEX(Encargado!$C$9:$C$128,$F98),"dd/mm"),INDEX(Encargado!$C$9:$C$128,$F98)))</f>
        <v/>
      </c>
      <c r="E98" s="50" t="str">
        <f>IF($F98=0,"",INDEX(Encargado!$Y$9:$Y$128,$F98)&amp;CHAR(10)&amp;"Vto. previsto: "&amp;TEXT(INDEX(Encargado!$Q$9:$Q$128,$F98),"dd/mm/yy"))</f>
        <v/>
      </c>
      <c r="F98">
        <f>IFERROR(MATCH(91,Encargado!$V$9:$V$128,0),0)</f>
        <v>0</v>
      </c>
    </row>
    <row r="99" spans="1:6" ht="67" customHeight="1">
      <c r="A99" s="53" t="str">
        <f>IF($F99=0,"",INDEX(Encargado!$AL$9:$AL$128,$F99))</f>
        <v/>
      </c>
      <c r="B99" s="53" t="str">
        <f>IF($F99=0,"",INDEX(Encargado!$A$9:$A$128,$F99)&amp;IF(INDEX(Encargado!$L$9:$L$128,$F99)="Adelanto"," · Adelanto para stock","")&amp;IF(AND(ISNUMBER(INDEX(Encargado!$D$9:$D$128,$F99)),ISNUMBER(INDEX(Encargado!$E$9:$E$128,$F99))),CHAR(10)&amp;TEXT(INDEX(Encargado!$D$9:$D$128,$F99),"dd/mm")&amp;" al "&amp;TEXT(INDEX(Encargado!$E$9:$E$128,$F99),"dd/mm"),""))</f>
        <v/>
      </c>
      <c r="C99" s="53" t="str">
        <f>IF($F99=0,"",ROUND(INDEX(Encargado!$J$9:$J$128,$F99),3)&amp;" "&amp;INDEX(Encargado!$F$9:$F$128,$F99))</f>
        <v/>
      </c>
      <c r="D99" s="54" t="str">
        <f>IF($F99=0,"",IF(INDEX(Encargado!$L$9:$L$128,$F99)="Adelanto","Prev. "&amp;TEXT(INDEX(Encargado!$C$9:$C$128,$F99),"dd/mm"),INDEX(Encargado!$C$9:$C$128,$F99)))</f>
        <v/>
      </c>
      <c r="E99" s="50" t="str">
        <f>IF($F99=0,"",INDEX(Encargado!$Y$9:$Y$128,$F99)&amp;CHAR(10)&amp;"Vto. previsto: "&amp;TEXT(INDEX(Encargado!$Q$9:$Q$128,$F99),"dd/mm/yy"))</f>
        <v/>
      </c>
      <c r="F99">
        <f>IFERROR(MATCH(92,Encargado!$V$9:$V$128,0),0)</f>
        <v>0</v>
      </c>
    </row>
    <row r="100" spans="1:6" ht="67" customHeight="1">
      <c r="A100" s="53" t="str">
        <f>IF($F100=0,"",INDEX(Encargado!$AL$9:$AL$128,$F100))</f>
        <v/>
      </c>
      <c r="B100" s="53" t="str">
        <f>IF($F100=0,"",INDEX(Encargado!$A$9:$A$128,$F100)&amp;IF(INDEX(Encargado!$L$9:$L$128,$F100)="Adelanto"," · Adelanto para stock","")&amp;IF(AND(ISNUMBER(INDEX(Encargado!$D$9:$D$128,$F100)),ISNUMBER(INDEX(Encargado!$E$9:$E$128,$F100))),CHAR(10)&amp;TEXT(INDEX(Encargado!$D$9:$D$128,$F100),"dd/mm")&amp;" al "&amp;TEXT(INDEX(Encargado!$E$9:$E$128,$F100),"dd/mm"),""))</f>
        <v/>
      </c>
      <c r="C100" s="53" t="str">
        <f>IF($F100=0,"",ROUND(INDEX(Encargado!$J$9:$J$128,$F100),3)&amp;" "&amp;INDEX(Encargado!$F$9:$F$128,$F100))</f>
        <v/>
      </c>
      <c r="D100" s="54" t="str">
        <f>IF($F100=0,"",IF(INDEX(Encargado!$L$9:$L$128,$F100)="Adelanto","Prev. "&amp;TEXT(INDEX(Encargado!$C$9:$C$128,$F100),"dd/mm"),INDEX(Encargado!$C$9:$C$128,$F100)))</f>
        <v/>
      </c>
      <c r="E100" s="50" t="str">
        <f>IF($F100=0,"",INDEX(Encargado!$Y$9:$Y$128,$F100)&amp;CHAR(10)&amp;"Vto. previsto: "&amp;TEXT(INDEX(Encargado!$Q$9:$Q$128,$F100),"dd/mm/yy"))</f>
        <v/>
      </c>
      <c r="F100">
        <f>IFERROR(MATCH(93,Encargado!$V$9:$V$128,0),0)</f>
        <v>0</v>
      </c>
    </row>
    <row r="101" spans="1:6" ht="67" customHeight="1">
      <c r="A101" s="53" t="str">
        <f>IF($F101=0,"",INDEX(Encargado!$AL$9:$AL$128,$F101))</f>
        <v/>
      </c>
      <c r="B101" s="53" t="str">
        <f>IF($F101=0,"",INDEX(Encargado!$A$9:$A$128,$F101)&amp;IF(INDEX(Encargado!$L$9:$L$128,$F101)="Adelanto"," · Adelanto para stock","")&amp;IF(AND(ISNUMBER(INDEX(Encargado!$D$9:$D$128,$F101)),ISNUMBER(INDEX(Encargado!$E$9:$E$128,$F101))),CHAR(10)&amp;TEXT(INDEX(Encargado!$D$9:$D$128,$F101),"dd/mm")&amp;" al "&amp;TEXT(INDEX(Encargado!$E$9:$E$128,$F101),"dd/mm"),""))</f>
        <v/>
      </c>
      <c r="C101" s="53" t="str">
        <f>IF($F101=0,"",ROUND(INDEX(Encargado!$J$9:$J$128,$F101),3)&amp;" "&amp;INDEX(Encargado!$F$9:$F$128,$F101))</f>
        <v/>
      </c>
      <c r="D101" s="54" t="str">
        <f>IF($F101=0,"",IF(INDEX(Encargado!$L$9:$L$128,$F101)="Adelanto","Prev. "&amp;TEXT(INDEX(Encargado!$C$9:$C$128,$F101),"dd/mm"),INDEX(Encargado!$C$9:$C$128,$F101)))</f>
        <v/>
      </c>
      <c r="E101" s="50" t="str">
        <f>IF($F101=0,"",INDEX(Encargado!$Y$9:$Y$128,$F101)&amp;CHAR(10)&amp;"Vto. previsto: "&amp;TEXT(INDEX(Encargado!$Q$9:$Q$128,$F101),"dd/mm/yy"))</f>
        <v/>
      </c>
      <c r="F101">
        <f>IFERROR(MATCH(94,Encargado!$V$9:$V$128,0),0)</f>
        <v>0</v>
      </c>
    </row>
    <row r="102" spans="1:6" ht="67" customHeight="1">
      <c r="A102" s="53" t="str">
        <f>IF($F102=0,"",INDEX(Encargado!$AL$9:$AL$128,$F102))</f>
        <v/>
      </c>
      <c r="B102" s="53" t="str">
        <f>IF($F102=0,"",INDEX(Encargado!$A$9:$A$128,$F102)&amp;IF(INDEX(Encargado!$L$9:$L$128,$F102)="Adelanto"," · Adelanto para stock","")&amp;IF(AND(ISNUMBER(INDEX(Encargado!$D$9:$D$128,$F102)),ISNUMBER(INDEX(Encargado!$E$9:$E$128,$F102))),CHAR(10)&amp;TEXT(INDEX(Encargado!$D$9:$D$128,$F102),"dd/mm")&amp;" al "&amp;TEXT(INDEX(Encargado!$E$9:$E$128,$F102),"dd/mm"),""))</f>
        <v/>
      </c>
      <c r="C102" s="53" t="str">
        <f>IF($F102=0,"",ROUND(INDEX(Encargado!$J$9:$J$128,$F102),3)&amp;" "&amp;INDEX(Encargado!$F$9:$F$128,$F102))</f>
        <v/>
      </c>
      <c r="D102" s="54" t="str">
        <f>IF($F102=0,"",IF(INDEX(Encargado!$L$9:$L$128,$F102)="Adelanto","Prev. "&amp;TEXT(INDEX(Encargado!$C$9:$C$128,$F102),"dd/mm"),INDEX(Encargado!$C$9:$C$128,$F102)))</f>
        <v/>
      </c>
      <c r="E102" s="50" t="str">
        <f>IF($F102=0,"",INDEX(Encargado!$Y$9:$Y$128,$F102)&amp;CHAR(10)&amp;"Vto. previsto: "&amp;TEXT(INDEX(Encargado!$Q$9:$Q$128,$F102),"dd/mm/yy"))</f>
        <v/>
      </c>
      <c r="F102">
        <f>IFERROR(MATCH(95,Encargado!$V$9:$V$128,0),0)</f>
        <v>0</v>
      </c>
    </row>
    <row r="103" spans="1:6" ht="67" customHeight="1">
      <c r="A103" s="53" t="str">
        <f>IF($F103=0,"",INDEX(Encargado!$AL$9:$AL$128,$F103))</f>
        <v/>
      </c>
      <c r="B103" s="53" t="str">
        <f>IF($F103=0,"",INDEX(Encargado!$A$9:$A$128,$F103)&amp;IF(INDEX(Encargado!$L$9:$L$128,$F103)="Adelanto"," · Adelanto para stock","")&amp;IF(AND(ISNUMBER(INDEX(Encargado!$D$9:$D$128,$F103)),ISNUMBER(INDEX(Encargado!$E$9:$E$128,$F103))),CHAR(10)&amp;TEXT(INDEX(Encargado!$D$9:$D$128,$F103),"dd/mm")&amp;" al "&amp;TEXT(INDEX(Encargado!$E$9:$E$128,$F103),"dd/mm"),""))</f>
        <v/>
      </c>
      <c r="C103" s="53" t="str">
        <f>IF($F103=0,"",ROUND(INDEX(Encargado!$J$9:$J$128,$F103),3)&amp;" "&amp;INDEX(Encargado!$F$9:$F$128,$F103))</f>
        <v/>
      </c>
      <c r="D103" s="54" t="str">
        <f>IF($F103=0,"",IF(INDEX(Encargado!$L$9:$L$128,$F103)="Adelanto","Prev. "&amp;TEXT(INDEX(Encargado!$C$9:$C$128,$F103),"dd/mm"),INDEX(Encargado!$C$9:$C$128,$F103)))</f>
        <v/>
      </c>
      <c r="E103" s="50" t="str">
        <f>IF($F103=0,"",INDEX(Encargado!$Y$9:$Y$128,$F103)&amp;CHAR(10)&amp;"Vto. previsto: "&amp;TEXT(INDEX(Encargado!$Q$9:$Q$128,$F103),"dd/mm/yy"))</f>
        <v/>
      </c>
      <c r="F103">
        <f>IFERROR(MATCH(96,Encargado!$V$9:$V$128,0),0)</f>
        <v>0</v>
      </c>
    </row>
    <row r="104" spans="1:6" ht="67" customHeight="1">
      <c r="A104" s="53" t="str">
        <f>IF($F104=0,"",INDEX(Encargado!$AL$9:$AL$128,$F104))</f>
        <v/>
      </c>
      <c r="B104" s="53" t="str">
        <f>IF($F104=0,"",INDEX(Encargado!$A$9:$A$128,$F104)&amp;IF(INDEX(Encargado!$L$9:$L$128,$F104)="Adelanto"," · Adelanto para stock","")&amp;IF(AND(ISNUMBER(INDEX(Encargado!$D$9:$D$128,$F104)),ISNUMBER(INDEX(Encargado!$E$9:$E$128,$F104))),CHAR(10)&amp;TEXT(INDEX(Encargado!$D$9:$D$128,$F104),"dd/mm")&amp;" al "&amp;TEXT(INDEX(Encargado!$E$9:$E$128,$F104),"dd/mm"),""))</f>
        <v/>
      </c>
      <c r="C104" s="53" t="str">
        <f>IF($F104=0,"",ROUND(INDEX(Encargado!$J$9:$J$128,$F104),3)&amp;" "&amp;INDEX(Encargado!$F$9:$F$128,$F104))</f>
        <v/>
      </c>
      <c r="D104" s="54" t="str">
        <f>IF($F104=0,"",IF(INDEX(Encargado!$L$9:$L$128,$F104)="Adelanto","Prev. "&amp;TEXT(INDEX(Encargado!$C$9:$C$128,$F104),"dd/mm"),INDEX(Encargado!$C$9:$C$128,$F104)))</f>
        <v/>
      </c>
      <c r="E104" s="50" t="str">
        <f>IF($F104=0,"",INDEX(Encargado!$Y$9:$Y$128,$F104)&amp;CHAR(10)&amp;"Vto. previsto: "&amp;TEXT(INDEX(Encargado!$Q$9:$Q$128,$F104),"dd/mm/yy"))</f>
        <v/>
      </c>
      <c r="F104">
        <f>IFERROR(MATCH(97,Encargado!$V$9:$V$128,0),0)</f>
        <v>0</v>
      </c>
    </row>
    <row r="105" spans="1:6" ht="67" customHeight="1">
      <c r="A105" s="53" t="str">
        <f>IF($F105=0,"",INDEX(Encargado!$AL$9:$AL$128,$F105))</f>
        <v/>
      </c>
      <c r="B105" s="53" t="str">
        <f>IF($F105=0,"",INDEX(Encargado!$A$9:$A$128,$F105)&amp;IF(INDEX(Encargado!$L$9:$L$128,$F105)="Adelanto"," · Adelanto para stock","")&amp;IF(AND(ISNUMBER(INDEX(Encargado!$D$9:$D$128,$F105)),ISNUMBER(INDEX(Encargado!$E$9:$E$128,$F105))),CHAR(10)&amp;TEXT(INDEX(Encargado!$D$9:$D$128,$F105),"dd/mm")&amp;" al "&amp;TEXT(INDEX(Encargado!$E$9:$E$128,$F105),"dd/mm"),""))</f>
        <v/>
      </c>
      <c r="C105" s="53" t="str">
        <f>IF($F105=0,"",ROUND(INDEX(Encargado!$J$9:$J$128,$F105),3)&amp;" "&amp;INDEX(Encargado!$F$9:$F$128,$F105))</f>
        <v/>
      </c>
      <c r="D105" s="54" t="str">
        <f>IF($F105=0,"",IF(INDEX(Encargado!$L$9:$L$128,$F105)="Adelanto","Prev. "&amp;TEXT(INDEX(Encargado!$C$9:$C$128,$F105),"dd/mm"),INDEX(Encargado!$C$9:$C$128,$F105)))</f>
        <v/>
      </c>
      <c r="E105" s="50" t="str">
        <f>IF($F105=0,"",INDEX(Encargado!$Y$9:$Y$128,$F105)&amp;CHAR(10)&amp;"Vto. previsto: "&amp;TEXT(INDEX(Encargado!$Q$9:$Q$128,$F105),"dd/mm/yy"))</f>
        <v/>
      </c>
      <c r="F105">
        <f>IFERROR(MATCH(98,Encargado!$V$9:$V$128,0),0)</f>
        <v>0</v>
      </c>
    </row>
    <row r="106" spans="1:6" ht="67" customHeight="1">
      <c r="A106" s="53" t="str">
        <f>IF($F106=0,"",INDEX(Encargado!$AL$9:$AL$128,$F106))</f>
        <v/>
      </c>
      <c r="B106" s="53" t="str">
        <f>IF($F106=0,"",INDEX(Encargado!$A$9:$A$128,$F106)&amp;IF(INDEX(Encargado!$L$9:$L$128,$F106)="Adelanto"," · Adelanto para stock","")&amp;IF(AND(ISNUMBER(INDEX(Encargado!$D$9:$D$128,$F106)),ISNUMBER(INDEX(Encargado!$E$9:$E$128,$F106))),CHAR(10)&amp;TEXT(INDEX(Encargado!$D$9:$D$128,$F106),"dd/mm")&amp;" al "&amp;TEXT(INDEX(Encargado!$E$9:$E$128,$F106),"dd/mm"),""))</f>
        <v/>
      </c>
      <c r="C106" s="53" t="str">
        <f>IF($F106=0,"",ROUND(INDEX(Encargado!$J$9:$J$128,$F106),3)&amp;" "&amp;INDEX(Encargado!$F$9:$F$128,$F106))</f>
        <v/>
      </c>
      <c r="D106" s="54" t="str">
        <f>IF($F106=0,"",IF(INDEX(Encargado!$L$9:$L$128,$F106)="Adelanto","Prev. "&amp;TEXT(INDEX(Encargado!$C$9:$C$128,$F106),"dd/mm"),INDEX(Encargado!$C$9:$C$128,$F106)))</f>
        <v/>
      </c>
      <c r="E106" s="50" t="str">
        <f>IF($F106=0,"",INDEX(Encargado!$Y$9:$Y$128,$F106)&amp;CHAR(10)&amp;"Vto. previsto: "&amp;TEXT(INDEX(Encargado!$Q$9:$Q$128,$F106),"dd/mm/yy"))</f>
        <v/>
      </c>
      <c r="F106">
        <f>IFERROR(MATCH(99,Encargado!$V$9:$V$128,0),0)</f>
        <v>0</v>
      </c>
    </row>
    <row r="107" spans="1:6" ht="67" customHeight="1">
      <c r="A107" s="53" t="str">
        <f>IF($F107=0,"",INDEX(Encargado!$AL$9:$AL$128,$F107))</f>
        <v/>
      </c>
      <c r="B107" s="53" t="str">
        <f>IF($F107=0,"",INDEX(Encargado!$A$9:$A$128,$F107)&amp;IF(INDEX(Encargado!$L$9:$L$128,$F107)="Adelanto"," · Adelanto para stock","")&amp;IF(AND(ISNUMBER(INDEX(Encargado!$D$9:$D$128,$F107)),ISNUMBER(INDEX(Encargado!$E$9:$E$128,$F107))),CHAR(10)&amp;TEXT(INDEX(Encargado!$D$9:$D$128,$F107),"dd/mm")&amp;" al "&amp;TEXT(INDEX(Encargado!$E$9:$E$128,$F107),"dd/mm"),""))</f>
        <v/>
      </c>
      <c r="C107" s="53" t="str">
        <f>IF($F107=0,"",ROUND(INDEX(Encargado!$J$9:$J$128,$F107),3)&amp;" "&amp;INDEX(Encargado!$F$9:$F$128,$F107))</f>
        <v/>
      </c>
      <c r="D107" s="54" t="str">
        <f>IF($F107=0,"",IF(INDEX(Encargado!$L$9:$L$128,$F107)="Adelanto","Prev. "&amp;TEXT(INDEX(Encargado!$C$9:$C$128,$F107),"dd/mm"),INDEX(Encargado!$C$9:$C$128,$F107)))</f>
        <v/>
      </c>
      <c r="E107" s="50" t="str">
        <f>IF($F107=0,"",INDEX(Encargado!$Y$9:$Y$128,$F107)&amp;CHAR(10)&amp;"Vto. previsto: "&amp;TEXT(INDEX(Encargado!$Q$9:$Q$128,$F107),"dd/mm/yy"))</f>
        <v/>
      </c>
      <c r="F107">
        <f>IFERROR(MATCH(100,Encargado!$V$9:$V$128,0),0)</f>
        <v>0</v>
      </c>
    </row>
    <row r="108" spans="1:6" ht="67" customHeight="1">
      <c r="A108" s="53" t="str">
        <f>IF($F108=0,"",INDEX(Encargado!$AL$9:$AL$128,$F108))</f>
        <v/>
      </c>
      <c r="B108" s="53" t="str">
        <f>IF($F108=0,"",INDEX(Encargado!$A$9:$A$128,$F108)&amp;IF(INDEX(Encargado!$L$9:$L$128,$F108)="Adelanto"," · Adelanto para stock","")&amp;IF(AND(ISNUMBER(INDEX(Encargado!$D$9:$D$128,$F108)),ISNUMBER(INDEX(Encargado!$E$9:$E$128,$F108))),CHAR(10)&amp;TEXT(INDEX(Encargado!$D$9:$D$128,$F108),"dd/mm")&amp;" al "&amp;TEXT(INDEX(Encargado!$E$9:$E$128,$F108),"dd/mm"),""))</f>
        <v/>
      </c>
      <c r="C108" s="53" t="str">
        <f>IF($F108=0,"",ROUND(INDEX(Encargado!$J$9:$J$128,$F108),3)&amp;" "&amp;INDEX(Encargado!$F$9:$F$128,$F108))</f>
        <v/>
      </c>
      <c r="D108" s="54" t="str">
        <f>IF($F108=0,"",IF(INDEX(Encargado!$L$9:$L$128,$F108)="Adelanto","Prev. "&amp;TEXT(INDEX(Encargado!$C$9:$C$128,$F108),"dd/mm"),INDEX(Encargado!$C$9:$C$128,$F108)))</f>
        <v/>
      </c>
      <c r="E108" s="50" t="str">
        <f>IF($F108=0,"",INDEX(Encargado!$Y$9:$Y$128,$F108)&amp;CHAR(10)&amp;"Vto. previsto: "&amp;TEXT(INDEX(Encargado!$Q$9:$Q$128,$F108),"dd/mm/yy"))</f>
        <v/>
      </c>
      <c r="F108">
        <f>IFERROR(MATCH(101,Encargado!$V$9:$V$128,0),0)</f>
        <v>0</v>
      </c>
    </row>
    <row r="109" spans="1:6" ht="67" customHeight="1">
      <c r="A109" s="53" t="str">
        <f>IF($F109=0,"",INDEX(Encargado!$AL$9:$AL$128,$F109))</f>
        <v/>
      </c>
      <c r="B109" s="53" t="str">
        <f>IF($F109=0,"",INDEX(Encargado!$A$9:$A$128,$F109)&amp;IF(INDEX(Encargado!$L$9:$L$128,$F109)="Adelanto"," · Adelanto para stock","")&amp;IF(AND(ISNUMBER(INDEX(Encargado!$D$9:$D$128,$F109)),ISNUMBER(INDEX(Encargado!$E$9:$E$128,$F109))),CHAR(10)&amp;TEXT(INDEX(Encargado!$D$9:$D$128,$F109),"dd/mm")&amp;" al "&amp;TEXT(INDEX(Encargado!$E$9:$E$128,$F109),"dd/mm"),""))</f>
        <v/>
      </c>
      <c r="C109" s="53" t="str">
        <f>IF($F109=0,"",ROUND(INDEX(Encargado!$J$9:$J$128,$F109),3)&amp;" "&amp;INDEX(Encargado!$F$9:$F$128,$F109))</f>
        <v/>
      </c>
      <c r="D109" s="54" t="str">
        <f>IF($F109=0,"",IF(INDEX(Encargado!$L$9:$L$128,$F109)="Adelanto","Prev. "&amp;TEXT(INDEX(Encargado!$C$9:$C$128,$F109),"dd/mm"),INDEX(Encargado!$C$9:$C$128,$F109)))</f>
        <v/>
      </c>
      <c r="E109" s="50" t="str">
        <f>IF($F109=0,"",INDEX(Encargado!$Y$9:$Y$128,$F109)&amp;CHAR(10)&amp;"Vto. previsto: "&amp;TEXT(INDEX(Encargado!$Q$9:$Q$128,$F109),"dd/mm/yy"))</f>
        <v/>
      </c>
      <c r="F109">
        <f>IFERROR(MATCH(102,Encargado!$V$9:$V$128,0),0)</f>
        <v>0</v>
      </c>
    </row>
    <row r="110" spans="1:6" ht="67" customHeight="1">
      <c r="A110" s="53" t="str">
        <f>IF($F110=0,"",INDEX(Encargado!$AL$9:$AL$128,$F110))</f>
        <v/>
      </c>
      <c r="B110" s="53" t="str">
        <f>IF($F110=0,"",INDEX(Encargado!$A$9:$A$128,$F110)&amp;IF(INDEX(Encargado!$L$9:$L$128,$F110)="Adelanto"," · Adelanto para stock","")&amp;IF(AND(ISNUMBER(INDEX(Encargado!$D$9:$D$128,$F110)),ISNUMBER(INDEX(Encargado!$E$9:$E$128,$F110))),CHAR(10)&amp;TEXT(INDEX(Encargado!$D$9:$D$128,$F110),"dd/mm")&amp;" al "&amp;TEXT(INDEX(Encargado!$E$9:$E$128,$F110),"dd/mm"),""))</f>
        <v/>
      </c>
      <c r="C110" s="53" t="str">
        <f>IF($F110=0,"",ROUND(INDEX(Encargado!$J$9:$J$128,$F110),3)&amp;" "&amp;INDEX(Encargado!$F$9:$F$128,$F110))</f>
        <v/>
      </c>
      <c r="D110" s="54" t="str">
        <f>IF($F110=0,"",IF(INDEX(Encargado!$L$9:$L$128,$F110)="Adelanto","Prev. "&amp;TEXT(INDEX(Encargado!$C$9:$C$128,$F110),"dd/mm"),INDEX(Encargado!$C$9:$C$128,$F110)))</f>
        <v/>
      </c>
      <c r="E110" s="50" t="str">
        <f>IF($F110=0,"",INDEX(Encargado!$Y$9:$Y$128,$F110)&amp;CHAR(10)&amp;"Vto. previsto: "&amp;TEXT(INDEX(Encargado!$Q$9:$Q$128,$F110),"dd/mm/yy"))</f>
        <v/>
      </c>
      <c r="F110">
        <f>IFERROR(MATCH(103,Encargado!$V$9:$V$128,0),0)</f>
        <v>0</v>
      </c>
    </row>
    <row r="111" spans="1:6" ht="67" customHeight="1">
      <c r="A111" s="53" t="str">
        <f>IF($F111=0,"",INDEX(Encargado!$AL$9:$AL$128,$F111))</f>
        <v/>
      </c>
      <c r="B111" s="53" t="str">
        <f>IF($F111=0,"",INDEX(Encargado!$A$9:$A$128,$F111)&amp;IF(INDEX(Encargado!$L$9:$L$128,$F111)="Adelanto"," · Adelanto para stock","")&amp;IF(AND(ISNUMBER(INDEX(Encargado!$D$9:$D$128,$F111)),ISNUMBER(INDEX(Encargado!$E$9:$E$128,$F111))),CHAR(10)&amp;TEXT(INDEX(Encargado!$D$9:$D$128,$F111),"dd/mm")&amp;" al "&amp;TEXT(INDEX(Encargado!$E$9:$E$128,$F111),"dd/mm"),""))</f>
        <v/>
      </c>
      <c r="C111" s="53" t="str">
        <f>IF($F111=0,"",ROUND(INDEX(Encargado!$J$9:$J$128,$F111),3)&amp;" "&amp;INDEX(Encargado!$F$9:$F$128,$F111))</f>
        <v/>
      </c>
      <c r="D111" s="54" t="str">
        <f>IF($F111=0,"",IF(INDEX(Encargado!$L$9:$L$128,$F111)="Adelanto","Prev. "&amp;TEXT(INDEX(Encargado!$C$9:$C$128,$F111),"dd/mm"),INDEX(Encargado!$C$9:$C$128,$F111)))</f>
        <v/>
      </c>
      <c r="E111" s="50" t="str">
        <f>IF($F111=0,"",INDEX(Encargado!$Y$9:$Y$128,$F111)&amp;CHAR(10)&amp;"Vto. previsto: "&amp;TEXT(INDEX(Encargado!$Q$9:$Q$128,$F111),"dd/mm/yy"))</f>
        <v/>
      </c>
      <c r="F111">
        <f>IFERROR(MATCH(104,Encargado!$V$9:$V$128,0),0)</f>
        <v>0</v>
      </c>
    </row>
    <row r="112" spans="1:6" ht="67" customHeight="1">
      <c r="A112" s="53" t="str">
        <f>IF($F112=0,"",INDEX(Encargado!$AL$9:$AL$128,$F112))</f>
        <v/>
      </c>
      <c r="B112" s="53" t="str">
        <f>IF($F112=0,"",INDEX(Encargado!$A$9:$A$128,$F112)&amp;IF(INDEX(Encargado!$L$9:$L$128,$F112)="Adelanto"," · Adelanto para stock","")&amp;IF(AND(ISNUMBER(INDEX(Encargado!$D$9:$D$128,$F112)),ISNUMBER(INDEX(Encargado!$E$9:$E$128,$F112))),CHAR(10)&amp;TEXT(INDEX(Encargado!$D$9:$D$128,$F112),"dd/mm")&amp;" al "&amp;TEXT(INDEX(Encargado!$E$9:$E$128,$F112),"dd/mm"),""))</f>
        <v/>
      </c>
      <c r="C112" s="53" t="str">
        <f>IF($F112=0,"",ROUND(INDEX(Encargado!$J$9:$J$128,$F112),3)&amp;" "&amp;INDEX(Encargado!$F$9:$F$128,$F112))</f>
        <v/>
      </c>
      <c r="D112" s="54" t="str">
        <f>IF($F112=0,"",IF(INDEX(Encargado!$L$9:$L$128,$F112)="Adelanto","Prev. "&amp;TEXT(INDEX(Encargado!$C$9:$C$128,$F112),"dd/mm"),INDEX(Encargado!$C$9:$C$128,$F112)))</f>
        <v/>
      </c>
      <c r="E112" s="50" t="str">
        <f>IF($F112=0,"",INDEX(Encargado!$Y$9:$Y$128,$F112)&amp;CHAR(10)&amp;"Vto. previsto: "&amp;TEXT(INDEX(Encargado!$Q$9:$Q$128,$F112),"dd/mm/yy"))</f>
        <v/>
      </c>
      <c r="F112">
        <f>IFERROR(MATCH(105,Encargado!$V$9:$V$128,0),0)</f>
        <v>0</v>
      </c>
    </row>
    <row r="113" spans="1:6" ht="67" customHeight="1">
      <c r="A113" s="53" t="str">
        <f>IF($F113=0,"",INDEX(Encargado!$AL$9:$AL$128,$F113))</f>
        <v/>
      </c>
      <c r="B113" s="53" t="str">
        <f>IF($F113=0,"",INDEX(Encargado!$A$9:$A$128,$F113)&amp;IF(INDEX(Encargado!$L$9:$L$128,$F113)="Adelanto"," · Adelanto para stock","")&amp;IF(AND(ISNUMBER(INDEX(Encargado!$D$9:$D$128,$F113)),ISNUMBER(INDEX(Encargado!$E$9:$E$128,$F113))),CHAR(10)&amp;TEXT(INDEX(Encargado!$D$9:$D$128,$F113),"dd/mm")&amp;" al "&amp;TEXT(INDEX(Encargado!$E$9:$E$128,$F113),"dd/mm"),""))</f>
        <v/>
      </c>
      <c r="C113" s="53" t="str">
        <f>IF($F113=0,"",ROUND(INDEX(Encargado!$J$9:$J$128,$F113),3)&amp;" "&amp;INDEX(Encargado!$F$9:$F$128,$F113))</f>
        <v/>
      </c>
      <c r="D113" s="54" t="str">
        <f>IF($F113=0,"",IF(INDEX(Encargado!$L$9:$L$128,$F113)="Adelanto","Prev. "&amp;TEXT(INDEX(Encargado!$C$9:$C$128,$F113),"dd/mm"),INDEX(Encargado!$C$9:$C$128,$F113)))</f>
        <v/>
      </c>
      <c r="E113" s="50" t="str">
        <f>IF($F113=0,"",INDEX(Encargado!$Y$9:$Y$128,$F113)&amp;CHAR(10)&amp;"Vto. previsto: "&amp;TEXT(INDEX(Encargado!$Q$9:$Q$128,$F113),"dd/mm/yy"))</f>
        <v/>
      </c>
      <c r="F113">
        <f>IFERROR(MATCH(106,Encargado!$V$9:$V$128,0),0)</f>
        <v>0</v>
      </c>
    </row>
    <row r="114" spans="1:6" ht="67" customHeight="1">
      <c r="A114" s="53" t="str">
        <f>IF($F114=0,"",INDEX(Encargado!$AL$9:$AL$128,$F114))</f>
        <v/>
      </c>
      <c r="B114" s="53" t="str">
        <f>IF($F114=0,"",INDEX(Encargado!$A$9:$A$128,$F114)&amp;IF(INDEX(Encargado!$L$9:$L$128,$F114)="Adelanto"," · Adelanto para stock","")&amp;IF(AND(ISNUMBER(INDEX(Encargado!$D$9:$D$128,$F114)),ISNUMBER(INDEX(Encargado!$E$9:$E$128,$F114))),CHAR(10)&amp;TEXT(INDEX(Encargado!$D$9:$D$128,$F114),"dd/mm")&amp;" al "&amp;TEXT(INDEX(Encargado!$E$9:$E$128,$F114),"dd/mm"),""))</f>
        <v/>
      </c>
      <c r="C114" s="53" t="str">
        <f>IF($F114=0,"",ROUND(INDEX(Encargado!$J$9:$J$128,$F114),3)&amp;" "&amp;INDEX(Encargado!$F$9:$F$128,$F114))</f>
        <v/>
      </c>
      <c r="D114" s="54" t="str">
        <f>IF($F114=0,"",IF(INDEX(Encargado!$L$9:$L$128,$F114)="Adelanto","Prev. "&amp;TEXT(INDEX(Encargado!$C$9:$C$128,$F114),"dd/mm"),INDEX(Encargado!$C$9:$C$128,$F114)))</f>
        <v/>
      </c>
      <c r="E114" s="50" t="str">
        <f>IF($F114=0,"",INDEX(Encargado!$Y$9:$Y$128,$F114)&amp;CHAR(10)&amp;"Vto. previsto: "&amp;TEXT(INDEX(Encargado!$Q$9:$Q$128,$F114),"dd/mm/yy"))</f>
        <v/>
      </c>
      <c r="F114">
        <f>IFERROR(MATCH(107,Encargado!$V$9:$V$128,0),0)</f>
        <v>0</v>
      </c>
    </row>
    <row r="115" spans="1:6" ht="67" customHeight="1">
      <c r="A115" s="53" t="str">
        <f>IF($F115=0,"",INDEX(Encargado!$AL$9:$AL$128,$F115))</f>
        <v/>
      </c>
      <c r="B115" s="53" t="str">
        <f>IF($F115=0,"",INDEX(Encargado!$A$9:$A$128,$F115)&amp;IF(INDEX(Encargado!$L$9:$L$128,$F115)="Adelanto"," · Adelanto para stock","")&amp;IF(AND(ISNUMBER(INDEX(Encargado!$D$9:$D$128,$F115)),ISNUMBER(INDEX(Encargado!$E$9:$E$128,$F115))),CHAR(10)&amp;TEXT(INDEX(Encargado!$D$9:$D$128,$F115),"dd/mm")&amp;" al "&amp;TEXT(INDEX(Encargado!$E$9:$E$128,$F115),"dd/mm"),""))</f>
        <v/>
      </c>
      <c r="C115" s="53" t="str">
        <f>IF($F115=0,"",ROUND(INDEX(Encargado!$J$9:$J$128,$F115),3)&amp;" "&amp;INDEX(Encargado!$F$9:$F$128,$F115))</f>
        <v/>
      </c>
      <c r="D115" s="54" t="str">
        <f>IF($F115=0,"",IF(INDEX(Encargado!$L$9:$L$128,$F115)="Adelanto","Prev. "&amp;TEXT(INDEX(Encargado!$C$9:$C$128,$F115),"dd/mm"),INDEX(Encargado!$C$9:$C$128,$F115)))</f>
        <v/>
      </c>
      <c r="E115" s="50" t="str">
        <f>IF($F115=0,"",INDEX(Encargado!$Y$9:$Y$128,$F115)&amp;CHAR(10)&amp;"Vto. previsto: "&amp;TEXT(INDEX(Encargado!$Q$9:$Q$128,$F115),"dd/mm/yy"))</f>
        <v/>
      </c>
      <c r="F115">
        <f>IFERROR(MATCH(108,Encargado!$V$9:$V$128,0),0)</f>
        <v>0</v>
      </c>
    </row>
    <row r="116" spans="1:6" ht="67" customHeight="1">
      <c r="A116" s="53" t="str">
        <f>IF($F116=0,"",INDEX(Encargado!$AL$9:$AL$128,$F116))</f>
        <v/>
      </c>
      <c r="B116" s="53" t="str">
        <f>IF($F116=0,"",INDEX(Encargado!$A$9:$A$128,$F116)&amp;IF(INDEX(Encargado!$L$9:$L$128,$F116)="Adelanto"," · Adelanto para stock","")&amp;IF(AND(ISNUMBER(INDEX(Encargado!$D$9:$D$128,$F116)),ISNUMBER(INDEX(Encargado!$E$9:$E$128,$F116))),CHAR(10)&amp;TEXT(INDEX(Encargado!$D$9:$D$128,$F116),"dd/mm")&amp;" al "&amp;TEXT(INDEX(Encargado!$E$9:$E$128,$F116),"dd/mm"),""))</f>
        <v/>
      </c>
      <c r="C116" s="53" t="str">
        <f>IF($F116=0,"",ROUND(INDEX(Encargado!$J$9:$J$128,$F116),3)&amp;" "&amp;INDEX(Encargado!$F$9:$F$128,$F116))</f>
        <v/>
      </c>
      <c r="D116" s="54" t="str">
        <f>IF($F116=0,"",IF(INDEX(Encargado!$L$9:$L$128,$F116)="Adelanto","Prev. "&amp;TEXT(INDEX(Encargado!$C$9:$C$128,$F116),"dd/mm"),INDEX(Encargado!$C$9:$C$128,$F116)))</f>
        <v/>
      </c>
      <c r="E116" s="50" t="str">
        <f>IF($F116=0,"",INDEX(Encargado!$Y$9:$Y$128,$F116)&amp;CHAR(10)&amp;"Vto. previsto: "&amp;TEXT(INDEX(Encargado!$Q$9:$Q$128,$F116),"dd/mm/yy"))</f>
        <v/>
      </c>
      <c r="F116">
        <f>IFERROR(MATCH(109,Encargado!$V$9:$V$128,0),0)</f>
        <v>0</v>
      </c>
    </row>
    <row r="117" spans="1:6" ht="67" customHeight="1">
      <c r="A117" s="53" t="str">
        <f>IF($F117=0,"",INDEX(Encargado!$AL$9:$AL$128,$F117))</f>
        <v/>
      </c>
      <c r="B117" s="53" t="str">
        <f>IF($F117=0,"",INDEX(Encargado!$A$9:$A$128,$F117)&amp;IF(INDEX(Encargado!$L$9:$L$128,$F117)="Adelanto"," · Adelanto para stock","")&amp;IF(AND(ISNUMBER(INDEX(Encargado!$D$9:$D$128,$F117)),ISNUMBER(INDEX(Encargado!$E$9:$E$128,$F117))),CHAR(10)&amp;TEXT(INDEX(Encargado!$D$9:$D$128,$F117),"dd/mm")&amp;" al "&amp;TEXT(INDEX(Encargado!$E$9:$E$128,$F117),"dd/mm"),""))</f>
        <v/>
      </c>
      <c r="C117" s="53" t="str">
        <f>IF($F117=0,"",ROUND(INDEX(Encargado!$J$9:$J$128,$F117),3)&amp;" "&amp;INDEX(Encargado!$F$9:$F$128,$F117))</f>
        <v/>
      </c>
      <c r="D117" s="54" t="str">
        <f>IF($F117=0,"",IF(INDEX(Encargado!$L$9:$L$128,$F117)="Adelanto","Prev. "&amp;TEXT(INDEX(Encargado!$C$9:$C$128,$F117),"dd/mm"),INDEX(Encargado!$C$9:$C$128,$F117)))</f>
        <v/>
      </c>
      <c r="E117" s="50" t="str">
        <f>IF($F117=0,"",INDEX(Encargado!$Y$9:$Y$128,$F117)&amp;CHAR(10)&amp;"Vto. previsto: "&amp;TEXT(INDEX(Encargado!$Q$9:$Q$128,$F117),"dd/mm/yy"))</f>
        <v/>
      </c>
      <c r="F117">
        <f>IFERROR(MATCH(110,Encargado!$V$9:$V$128,0),0)</f>
        <v>0</v>
      </c>
    </row>
    <row r="118" spans="1:6" ht="67" customHeight="1">
      <c r="A118" s="53" t="str">
        <f>IF($F118=0,"",INDEX(Encargado!$AL$9:$AL$128,$F118))</f>
        <v/>
      </c>
      <c r="B118" s="53" t="str">
        <f>IF($F118=0,"",INDEX(Encargado!$A$9:$A$128,$F118)&amp;IF(INDEX(Encargado!$L$9:$L$128,$F118)="Adelanto"," · Adelanto para stock","")&amp;IF(AND(ISNUMBER(INDEX(Encargado!$D$9:$D$128,$F118)),ISNUMBER(INDEX(Encargado!$E$9:$E$128,$F118))),CHAR(10)&amp;TEXT(INDEX(Encargado!$D$9:$D$128,$F118),"dd/mm")&amp;" al "&amp;TEXT(INDEX(Encargado!$E$9:$E$128,$F118),"dd/mm"),""))</f>
        <v/>
      </c>
      <c r="C118" s="53" t="str">
        <f>IF($F118=0,"",ROUND(INDEX(Encargado!$J$9:$J$128,$F118),3)&amp;" "&amp;INDEX(Encargado!$F$9:$F$128,$F118))</f>
        <v/>
      </c>
      <c r="D118" s="54" t="str">
        <f>IF($F118=0,"",IF(INDEX(Encargado!$L$9:$L$128,$F118)="Adelanto","Prev. "&amp;TEXT(INDEX(Encargado!$C$9:$C$128,$F118),"dd/mm"),INDEX(Encargado!$C$9:$C$128,$F118)))</f>
        <v/>
      </c>
      <c r="E118" s="50" t="str">
        <f>IF($F118=0,"",INDEX(Encargado!$Y$9:$Y$128,$F118)&amp;CHAR(10)&amp;"Vto. previsto: "&amp;TEXT(INDEX(Encargado!$Q$9:$Q$128,$F118),"dd/mm/yy"))</f>
        <v/>
      </c>
      <c r="F118">
        <f>IFERROR(MATCH(111,Encargado!$V$9:$V$128,0),0)</f>
        <v>0</v>
      </c>
    </row>
    <row r="119" spans="1:6" ht="67" customHeight="1">
      <c r="A119" s="53" t="str">
        <f>IF($F119=0,"",INDEX(Encargado!$AL$9:$AL$128,$F119))</f>
        <v/>
      </c>
      <c r="B119" s="53" t="str">
        <f>IF($F119=0,"",INDEX(Encargado!$A$9:$A$128,$F119)&amp;IF(INDEX(Encargado!$L$9:$L$128,$F119)="Adelanto"," · Adelanto para stock","")&amp;IF(AND(ISNUMBER(INDEX(Encargado!$D$9:$D$128,$F119)),ISNUMBER(INDEX(Encargado!$E$9:$E$128,$F119))),CHAR(10)&amp;TEXT(INDEX(Encargado!$D$9:$D$128,$F119),"dd/mm")&amp;" al "&amp;TEXT(INDEX(Encargado!$E$9:$E$128,$F119),"dd/mm"),""))</f>
        <v/>
      </c>
      <c r="C119" s="53" t="str">
        <f>IF($F119=0,"",ROUND(INDEX(Encargado!$J$9:$J$128,$F119),3)&amp;" "&amp;INDEX(Encargado!$F$9:$F$128,$F119))</f>
        <v/>
      </c>
      <c r="D119" s="54" t="str">
        <f>IF($F119=0,"",IF(INDEX(Encargado!$L$9:$L$128,$F119)="Adelanto","Prev. "&amp;TEXT(INDEX(Encargado!$C$9:$C$128,$F119),"dd/mm"),INDEX(Encargado!$C$9:$C$128,$F119)))</f>
        <v/>
      </c>
      <c r="E119" s="50" t="str">
        <f>IF($F119=0,"",INDEX(Encargado!$Y$9:$Y$128,$F119)&amp;CHAR(10)&amp;"Vto. previsto: "&amp;TEXT(INDEX(Encargado!$Q$9:$Q$128,$F119),"dd/mm/yy"))</f>
        <v/>
      </c>
      <c r="F119">
        <f>IFERROR(MATCH(112,Encargado!$V$9:$V$128,0),0)</f>
        <v>0</v>
      </c>
    </row>
    <row r="120" spans="1:6" ht="67" customHeight="1">
      <c r="A120" s="53" t="str">
        <f>IF($F120=0,"",INDEX(Encargado!$AL$9:$AL$128,$F120))</f>
        <v/>
      </c>
      <c r="B120" s="53" t="str">
        <f>IF($F120=0,"",INDEX(Encargado!$A$9:$A$128,$F120)&amp;IF(INDEX(Encargado!$L$9:$L$128,$F120)="Adelanto"," · Adelanto para stock","")&amp;IF(AND(ISNUMBER(INDEX(Encargado!$D$9:$D$128,$F120)),ISNUMBER(INDEX(Encargado!$E$9:$E$128,$F120))),CHAR(10)&amp;TEXT(INDEX(Encargado!$D$9:$D$128,$F120),"dd/mm")&amp;" al "&amp;TEXT(INDEX(Encargado!$E$9:$E$128,$F120),"dd/mm"),""))</f>
        <v/>
      </c>
      <c r="C120" s="53" t="str">
        <f>IF($F120=0,"",ROUND(INDEX(Encargado!$J$9:$J$128,$F120),3)&amp;" "&amp;INDEX(Encargado!$F$9:$F$128,$F120))</f>
        <v/>
      </c>
      <c r="D120" s="54" t="str">
        <f>IF($F120=0,"",IF(INDEX(Encargado!$L$9:$L$128,$F120)="Adelanto","Prev. "&amp;TEXT(INDEX(Encargado!$C$9:$C$128,$F120),"dd/mm"),INDEX(Encargado!$C$9:$C$128,$F120)))</f>
        <v/>
      </c>
      <c r="E120" s="50" t="str">
        <f>IF($F120=0,"",INDEX(Encargado!$Y$9:$Y$128,$F120)&amp;CHAR(10)&amp;"Vto. previsto: "&amp;TEXT(INDEX(Encargado!$Q$9:$Q$128,$F120),"dd/mm/yy"))</f>
        <v/>
      </c>
      <c r="F120">
        <f>IFERROR(MATCH(113,Encargado!$V$9:$V$128,0),0)</f>
        <v>0</v>
      </c>
    </row>
    <row r="121" spans="1:6" ht="67" customHeight="1">
      <c r="A121" s="53" t="str">
        <f>IF($F121=0,"",INDEX(Encargado!$AL$9:$AL$128,$F121))</f>
        <v/>
      </c>
      <c r="B121" s="53" t="str">
        <f>IF($F121=0,"",INDEX(Encargado!$A$9:$A$128,$F121)&amp;IF(INDEX(Encargado!$L$9:$L$128,$F121)="Adelanto"," · Adelanto para stock","")&amp;IF(AND(ISNUMBER(INDEX(Encargado!$D$9:$D$128,$F121)),ISNUMBER(INDEX(Encargado!$E$9:$E$128,$F121))),CHAR(10)&amp;TEXT(INDEX(Encargado!$D$9:$D$128,$F121),"dd/mm")&amp;" al "&amp;TEXT(INDEX(Encargado!$E$9:$E$128,$F121),"dd/mm"),""))</f>
        <v/>
      </c>
      <c r="C121" s="53" t="str">
        <f>IF($F121=0,"",ROUND(INDEX(Encargado!$J$9:$J$128,$F121),3)&amp;" "&amp;INDEX(Encargado!$F$9:$F$128,$F121))</f>
        <v/>
      </c>
      <c r="D121" s="54" t="str">
        <f>IF($F121=0,"",IF(INDEX(Encargado!$L$9:$L$128,$F121)="Adelanto","Prev. "&amp;TEXT(INDEX(Encargado!$C$9:$C$128,$F121),"dd/mm"),INDEX(Encargado!$C$9:$C$128,$F121)))</f>
        <v/>
      </c>
      <c r="E121" s="50" t="str">
        <f>IF($F121=0,"",INDEX(Encargado!$Y$9:$Y$128,$F121)&amp;CHAR(10)&amp;"Vto. previsto: "&amp;TEXT(INDEX(Encargado!$Q$9:$Q$128,$F121),"dd/mm/yy"))</f>
        <v/>
      </c>
      <c r="F121">
        <f>IFERROR(MATCH(114,Encargado!$V$9:$V$128,0),0)</f>
        <v>0</v>
      </c>
    </row>
    <row r="122" spans="1:6" ht="67" customHeight="1">
      <c r="A122" s="53" t="str">
        <f>IF($F122=0,"",INDEX(Encargado!$AL$9:$AL$128,$F122))</f>
        <v/>
      </c>
      <c r="B122" s="53" t="str">
        <f>IF($F122=0,"",INDEX(Encargado!$A$9:$A$128,$F122)&amp;IF(INDEX(Encargado!$L$9:$L$128,$F122)="Adelanto"," · Adelanto para stock","")&amp;IF(AND(ISNUMBER(INDEX(Encargado!$D$9:$D$128,$F122)),ISNUMBER(INDEX(Encargado!$E$9:$E$128,$F122))),CHAR(10)&amp;TEXT(INDEX(Encargado!$D$9:$D$128,$F122),"dd/mm")&amp;" al "&amp;TEXT(INDEX(Encargado!$E$9:$E$128,$F122),"dd/mm"),""))</f>
        <v/>
      </c>
      <c r="C122" s="53" t="str">
        <f>IF($F122=0,"",ROUND(INDEX(Encargado!$J$9:$J$128,$F122),3)&amp;" "&amp;INDEX(Encargado!$F$9:$F$128,$F122))</f>
        <v/>
      </c>
      <c r="D122" s="54" t="str">
        <f>IF($F122=0,"",IF(INDEX(Encargado!$L$9:$L$128,$F122)="Adelanto","Prev. "&amp;TEXT(INDEX(Encargado!$C$9:$C$128,$F122),"dd/mm"),INDEX(Encargado!$C$9:$C$128,$F122)))</f>
        <v/>
      </c>
      <c r="E122" s="50" t="str">
        <f>IF($F122=0,"",INDEX(Encargado!$Y$9:$Y$128,$F122)&amp;CHAR(10)&amp;"Vto. previsto: "&amp;TEXT(INDEX(Encargado!$Q$9:$Q$128,$F122),"dd/mm/yy"))</f>
        <v/>
      </c>
      <c r="F122">
        <f>IFERROR(MATCH(115,Encargado!$V$9:$V$128,0),0)</f>
        <v>0</v>
      </c>
    </row>
    <row r="123" spans="1:6" ht="67" customHeight="1">
      <c r="A123" s="53" t="str">
        <f>IF($F123=0,"",INDEX(Encargado!$AL$9:$AL$128,$F123))</f>
        <v/>
      </c>
      <c r="B123" s="53" t="str">
        <f>IF($F123=0,"",INDEX(Encargado!$A$9:$A$128,$F123)&amp;IF(INDEX(Encargado!$L$9:$L$128,$F123)="Adelanto"," · Adelanto para stock","")&amp;IF(AND(ISNUMBER(INDEX(Encargado!$D$9:$D$128,$F123)),ISNUMBER(INDEX(Encargado!$E$9:$E$128,$F123))),CHAR(10)&amp;TEXT(INDEX(Encargado!$D$9:$D$128,$F123),"dd/mm")&amp;" al "&amp;TEXT(INDEX(Encargado!$E$9:$E$128,$F123),"dd/mm"),""))</f>
        <v/>
      </c>
      <c r="C123" s="53" t="str">
        <f>IF($F123=0,"",ROUND(INDEX(Encargado!$J$9:$J$128,$F123),3)&amp;" "&amp;INDEX(Encargado!$F$9:$F$128,$F123))</f>
        <v/>
      </c>
      <c r="D123" s="54" t="str">
        <f>IF($F123=0,"",IF(INDEX(Encargado!$L$9:$L$128,$F123)="Adelanto","Prev. "&amp;TEXT(INDEX(Encargado!$C$9:$C$128,$F123),"dd/mm"),INDEX(Encargado!$C$9:$C$128,$F123)))</f>
        <v/>
      </c>
      <c r="E123" s="50" t="str">
        <f>IF($F123=0,"",INDEX(Encargado!$Y$9:$Y$128,$F123)&amp;CHAR(10)&amp;"Vto. previsto: "&amp;TEXT(INDEX(Encargado!$Q$9:$Q$128,$F123),"dd/mm/yy"))</f>
        <v/>
      </c>
      <c r="F123">
        <f>IFERROR(MATCH(116,Encargado!$V$9:$V$128,0),0)</f>
        <v>0</v>
      </c>
    </row>
    <row r="124" spans="1:6" ht="67" customHeight="1">
      <c r="A124" s="53" t="str">
        <f>IF($F124=0,"",INDEX(Encargado!$AL$9:$AL$128,$F124))</f>
        <v/>
      </c>
      <c r="B124" s="53" t="str">
        <f>IF($F124=0,"",INDEX(Encargado!$A$9:$A$128,$F124)&amp;IF(INDEX(Encargado!$L$9:$L$128,$F124)="Adelanto"," · Adelanto para stock","")&amp;IF(AND(ISNUMBER(INDEX(Encargado!$D$9:$D$128,$F124)),ISNUMBER(INDEX(Encargado!$E$9:$E$128,$F124))),CHAR(10)&amp;TEXT(INDEX(Encargado!$D$9:$D$128,$F124),"dd/mm")&amp;" al "&amp;TEXT(INDEX(Encargado!$E$9:$E$128,$F124),"dd/mm"),""))</f>
        <v/>
      </c>
      <c r="C124" s="53" t="str">
        <f>IF($F124=0,"",ROUND(INDEX(Encargado!$J$9:$J$128,$F124),3)&amp;" "&amp;INDEX(Encargado!$F$9:$F$128,$F124))</f>
        <v/>
      </c>
      <c r="D124" s="54" t="str">
        <f>IF($F124=0,"",IF(INDEX(Encargado!$L$9:$L$128,$F124)="Adelanto","Prev. "&amp;TEXT(INDEX(Encargado!$C$9:$C$128,$F124),"dd/mm"),INDEX(Encargado!$C$9:$C$128,$F124)))</f>
        <v/>
      </c>
      <c r="E124" s="50" t="str">
        <f>IF($F124=0,"",INDEX(Encargado!$Y$9:$Y$128,$F124)&amp;CHAR(10)&amp;"Vto. previsto: "&amp;TEXT(INDEX(Encargado!$Q$9:$Q$128,$F124),"dd/mm/yy"))</f>
        <v/>
      </c>
      <c r="F124">
        <f>IFERROR(MATCH(117,Encargado!$V$9:$V$128,0),0)</f>
        <v>0</v>
      </c>
    </row>
    <row r="125" spans="1:6" ht="67" customHeight="1">
      <c r="A125" s="53" t="str">
        <f>IF($F125=0,"",INDEX(Encargado!$AL$9:$AL$128,$F125))</f>
        <v/>
      </c>
      <c r="B125" s="53" t="str">
        <f>IF($F125=0,"",INDEX(Encargado!$A$9:$A$128,$F125)&amp;IF(INDEX(Encargado!$L$9:$L$128,$F125)="Adelanto"," · Adelanto para stock","")&amp;IF(AND(ISNUMBER(INDEX(Encargado!$D$9:$D$128,$F125)),ISNUMBER(INDEX(Encargado!$E$9:$E$128,$F125))),CHAR(10)&amp;TEXT(INDEX(Encargado!$D$9:$D$128,$F125),"dd/mm")&amp;" al "&amp;TEXT(INDEX(Encargado!$E$9:$E$128,$F125),"dd/mm"),""))</f>
        <v/>
      </c>
      <c r="C125" s="53" t="str">
        <f>IF($F125=0,"",ROUND(INDEX(Encargado!$J$9:$J$128,$F125),3)&amp;" "&amp;INDEX(Encargado!$F$9:$F$128,$F125))</f>
        <v/>
      </c>
      <c r="D125" s="54" t="str">
        <f>IF($F125=0,"",IF(INDEX(Encargado!$L$9:$L$128,$F125)="Adelanto","Prev. "&amp;TEXT(INDEX(Encargado!$C$9:$C$128,$F125),"dd/mm"),INDEX(Encargado!$C$9:$C$128,$F125)))</f>
        <v/>
      </c>
      <c r="E125" s="50" t="str">
        <f>IF($F125=0,"",INDEX(Encargado!$Y$9:$Y$128,$F125)&amp;CHAR(10)&amp;"Vto. previsto: "&amp;TEXT(INDEX(Encargado!$Q$9:$Q$128,$F125),"dd/mm/yy"))</f>
        <v/>
      </c>
      <c r="F125">
        <f>IFERROR(MATCH(118,Encargado!$V$9:$V$128,0),0)</f>
        <v>0</v>
      </c>
    </row>
    <row r="126" spans="1:6" ht="67" customHeight="1">
      <c r="A126" s="53" t="str">
        <f>IF($F126=0,"",INDEX(Encargado!$AL$9:$AL$128,$F126))</f>
        <v/>
      </c>
      <c r="B126" s="53" t="str">
        <f>IF($F126=0,"",INDEX(Encargado!$A$9:$A$128,$F126)&amp;IF(INDEX(Encargado!$L$9:$L$128,$F126)="Adelanto"," · Adelanto para stock","")&amp;IF(AND(ISNUMBER(INDEX(Encargado!$D$9:$D$128,$F126)),ISNUMBER(INDEX(Encargado!$E$9:$E$128,$F126))),CHAR(10)&amp;TEXT(INDEX(Encargado!$D$9:$D$128,$F126),"dd/mm")&amp;" al "&amp;TEXT(INDEX(Encargado!$E$9:$E$128,$F126),"dd/mm"),""))</f>
        <v/>
      </c>
      <c r="C126" s="53" t="str">
        <f>IF($F126=0,"",ROUND(INDEX(Encargado!$J$9:$J$128,$F126),3)&amp;" "&amp;INDEX(Encargado!$F$9:$F$128,$F126))</f>
        <v/>
      </c>
      <c r="D126" s="54" t="str">
        <f>IF($F126=0,"",IF(INDEX(Encargado!$L$9:$L$128,$F126)="Adelanto","Prev. "&amp;TEXT(INDEX(Encargado!$C$9:$C$128,$F126),"dd/mm"),INDEX(Encargado!$C$9:$C$128,$F126)))</f>
        <v/>
      </c>
      <c r="E126" s="50" t="str">
        <f>IF($F126=0,"",INDEX(Encargado!$Y$9:$Y$128,$F126)&amp;CHAR(10)&amp;"Vto. previsto: "&amp;TEXT(INDEX(Encargado!$Q$9:$Q$128,$F126),"dd/mm/yy"))</f>
        <v/>
      </c>
      <c r="F126">
        <f>IFERROR(MATCH(119,Encargado!$V$9:$V$128,0),0)</f>
        <v>0</v>
      </c>
    </row>
    <row r="127" spans="1:6" ht="67" customHeight="1">
      <c r="A127" s="53" t="str">
        <f>IF($F127=0,"",INDEX(Encargado!$AL$9:$AL$128,$F127))</f>
        <v/>
      </c>
      <c r="B127" s="53" t="str">
        <f>IF($F127=0,"",INDEX(Encargado!$A$9:$A$128,$F127)&amp;IF(INDEX(Encargado!$L$9:$L$128,$F127)="Adelanto"," · Adelanto para stock","")&amp;IF(AND(ISNUMBER(INDEX(Encargado!$D$9:$D$128,$F127)),ISNUMBER(INDEX(Encargado!$E$9:$E$128,$F127))),CHAR(10)&amp;TEXT(INDEX(Encargado!$D$9:$D$128,$F127),"dd/mm")&amp;" al "&amp;TEXT(INDEX(Encargado!$E$9:$E$128,$F127),"dd/mm"),""))</f>
        <v/>
      </c>
      <c r="C127" s="53" t="str">
        <f>IF($F127=0,"",ROUND(INDEX(Encargado!$J$9:$J$128,$F127),3)&amp;" "&amp;INDEX(Encargado!$F$9:$F$128,$F127))</f>
        <v/>
      </c>
      <c r="D127" s="54" t="str">
        <f>IF($F127=0,"",IF(INDEX(Encargado!$L$9:$L$128,$F127)="Adelanto","Prev. "&amp;TEXT(INDEX(Encargado!$C$9:$C$128,$F127),"dd/mm"),INDEX(Encargado!$C$9:$C$128,$F127)))</f>
        <v/>
      </c>
      <c r="E127" s="50" t="str">
        <f>IF($F127=0,"",INDEX(Encargado!$Y$9:$Y$128,$F127)&amp;CHAR(10)&amp;"Vto. previsto: "&amp;TEXT(INDEX(Encargado!$Q$9:$Q$128,$F127),"dd/mm/yy"))</f>
        <v/>
      </c>
      <c r="F127">
        <f>IFERROR(MATCH(120,Encargado!$V$9:$V$128,0),0)</f>
        <v>0</v>
      </c>
    </row>
  </sheetData>
  <mergeCells count="5">
    <mergeCell ref="A1:E1"/>
    <mergeCell ref="A2:E2"/>
    <mergeCell ref="A4:E4"/>
    <mergeCell ref="A5:E5"/>
    <mergeCell ref="A6:E6"/>
  </mergeCells>
  <conditionalFormatting sqref="A8:A127">
    <cfRule type="expression" dxfId="13" priority="1">
      <formula>OR($A8="Preparar",$A8="Completar")</formula>
    </cfRule>
    <cfRule type="expression" dxfId="12" priority="2">
      <formula>$A8="Previsión"</formula>
    </cfRule>
    <cfRule type="expression" dxfId="11" priority="3">
      <formula>AND($A8&lt;&gt;"",$A8&lt;&gt;"Previsión",$A8&lt;&gt;"Preparar",$A8&lt;&gt;"Completar",$A8&lt;&gt;"Hecho",$A8&lt;&gt;"Sin pedido",$A8&lt;&gt;"Cubierto con stock",$A8&lt;&gt;"Por confirmar")</formula>
    </cfRule>
  </conditionalFormatting>
  <dataValidations count="1">
    <dataValidation type="date" sqref="B3" xr:uid="{00000000-0002-0000-0000-000000000000}">
      <formula1>43831</formula1>
      <formula2>73415</formula2>
    </dataValidation>
  </dataValidation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E5B57"/>
    <outlinePr summaryBelow="0" summaryRight="0"/>
  </sheetPr>
  <dimension ref="A1:AM128"/>
  <sheetViews>
    <sheetView showGridLines="0" zoomScale="85" workbookViewId="0">
      <pane ySplit="8" topLeftCell="A9" activePane="bottomLeft" state="frozen"/>
      <selection pane="bottomLeft" activeCell="I11" sqref="I11"/>
    </sheetView>
  </sheetViews>
  <sheetFormatPr baseColWidth="10" defaultColWidth="8.83203125" defaultRowHeight="15" outlineLevelRow="1" outlineLevelCol="1"/>
  <cols>
    <col min="1" max="1" width="23" customWidth="1"/>
    <col min="2" max="2" width="11" customWidth="1"/>
    <col min="3" max="3" width="11" customWidth="1" collapsed="1"/>
    <col min="4" max="5" width="13" hidden="1" customWidth="1" outlineLevel="1"/>
    <col min="6" max="6" width="8" hidden="1" customWidth="1" outlineLevel="1"/>
    <col min="7" max="8" width="12" customWidth="1"/>
    <col min="9" max="9" width="14" customWidth="1"/>
    <col min="10" max="11" width="13" customWidth="1"/>
    <col min="12" max="12" width="12" customWidth="1"/>
    <col min="13" max="13" width="15" customWidth="1"/>
    <col min="14" max="14" width="12" customWidth="1"/>
    <col min="15" max="15" width="27" customWidth="1" collapsed="1"/>
    <col min="16" max="16" width="28" hidden="1" customWidth="1" outlineLevel="1"/>
    <col min="17" max="17" width="16" hidden="1" customWidth="1" outlineLevel="1"/>
    <col min="18" max="39" width="12" hidden="1" customWidth="1"/>
  </cols>
  <sheetData>
    <row r="1" spans="1:39" ht="34" customHeight="1">
      <c r="A1" s="57" t="inlineStr">
        <is>
          <t>Carrasco   /   Pedidos y producción</t>
        </is>
      </c>
      <c r="B1" s="57"/>
      <c r="C1" s="57"/>
      <c r="D1" s="57"/>
      <c r="E1" s="57"/>
      <c r="F1" s="57"/>
      <c r="G1" s="57"/>
      <c r="H1" s="57"/>
      <c r="I1" s="57"/>
      <c r="J1" s="58"/>
      <c r="K1" s="58"/>
      <c r="L1" s="58"/>
      <c r="M1" s="56"/>
      <c r="N1" s="58"/>
      <c r="O1" s="58"/>
      <c r="P1" s="4"/>
      <c r="Q1" s="4"/>
    </row>
    <row r="2" spans="1:39" ht="38" customHeight="1">
      <c r="A2" s="55" t="s">
        <v>8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6"/>
      <c r="N2" s="55"/>
      <c r="O2" s="55"/>
      <c r="P2" s="4" t="s">
        <v>9</v>
      </c>
      <c r="Q2" s="9">
        <v>25</v>
      </c>
    </row>
    <row r="3" spans="1:39" ht="23" customHeight="1">
      <c r="A3" s="55" t="s">
        <v>10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N3" s="55"/>
      <c r="O3" s="55"/>
      <c r="P3" s="4" t="s">
        <v>11</v>
      </c>
      <c r="Q3" s="9">
        <v>40</v>
      </c>
    </row>
    <row r="4" spans="1:39" ht="23" customHeight="1" collapsed="1">
      <c r="A4" s="55" t="s">
        <v>12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6"/>
      <c r="N4" s="55"/>
      <c r="O4" s="55"/>
      <c r="P4" s="4" t="s">
        <v>13</v>
      </c>
      <c r="Q4" s="17" t="s">
        <v>14</v>
      </c>
      <c r="AH4" t="str">
        <f>IF(SUM($AH$9:$AH$128)=0,"","Calendario incompleto: "&amp;SUM($AH$9:$AH$128)&amp;" tanda(s) sin fecha válida dentro del calendario. Revisá Encargado desde la fila "&amp;(MATCH(1,$AH$9:$AH$128,0)+8)&amp;".")</f>
        <v/>
      </c>
    </row>
    <row r="5" spans="1:39" ht="23" hidden="1" customHeight="1" outlineLevel="1">
      <c r="A5" s="55" t="s">
        <v>15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6"/>
      <c r="N5" s="55"/>
      <c r="O5" s="55"/>
      <c r="P5" s="4"/>
      <c r="Q5" s="4"/>
      <c r="AH5" t="str">
        <f>IF(Q4="Sin servicio","30/11: Punta confirmó que no hay servicio.",IF(Q4="Cubierta","30/11: el encargado confirmó que la apertura está cubierta.","Apertura 30/11 pendiente: confirmar si hay servicio y con qué stock o pedido se cubre."))</f>
        <v>Apertura 30/11 pendiente: confirmar si hay servicio y con qué stock o pedido se cubre.</v>
      </c>
    </row>
    <row r="6" spans="1:39" ht="23" hidden="1" customHeight="1" outlineLevel="1">
      <c r="A6" s="55" t="s">
        <v>16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6"/>
      <c r="N6" s="55"/>
      <c r="O6" s="55"/>
      <c r="P6" s="4"/>
      <c r="Q6" s="4"/>
    </row>
    <row r="7" spans="1:39" ht="23" hidden="1" customHeight="1" outlineLevel="1">
      <c r="A7" s="55" t="s">
        <v>17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6"/>
      <c r="N7" s="55"/>
      <c r="O7" s="55"/>
      <c r="P7" s="4"/>
      <c r="Q7" s="4"/>
    </row>
    <row r="8" spans="1:39" ht="32" customHeight="1">
      <c r="A8" s="18" t="s">
        <v>18</v>
      </c>
      <c r="B8" s="18" t="s">
        <v>19</v>
      </c>
      <c r="C8" s="18" t="s">
        <v>6</v>
      </c>
      <c r="D8" s="18" t="s">
        <v>20</v>
      </c>
      <c r="E8" s="18" t="s">
        <v>21</v>
      </c>
      <c r="F8" s="18" t="s">
        <v>22</v>
      </c>
      <c r="G8" s="18" t="s">
        <v>23</v>
      </c>
      <c r="H8" s="18" t="s">
        <v>24</v>
      </c>
      <c r="I8" s="18" t="s">
        <v>25</v>
      </c>
      <c r="J8" s="18" t="s">
        <v>26</v>
      </c>
      <c r="K8" s="18" t="s">
        <v>27</v>
      </c>
      <c r="L8" s="18" t="s">
        <v>28</v>
      </c>
      <c r="M8" s="18" t="s">
        <v>29</v>
      </c>
      <c r="N8" s="18" t="s">
        <v>30</v>
      </c>
      <c r="O8" s="18" t="s">
        <v>31</v>
      </c>
      <c r="P8" s="18" t="s">
        <v>32</v>
      </c>
      <c r="Q8" s="18" t="s">
        <v>33</v>
      </c>
    </row>
    <row r="9" spans="1:39" ht="31" customHeight="1">
      <c r="A9" s="5" t="s">
        <v>34</v>
      </c>
      <c r="B9" s="19">
        <v>46335</v>
      </c>
      <c r="C9" s="19">
        <v>46356</v>
      </c>
      <c r="D9" s="19">
        <v>46357</v>
      </c>
      <c r="E9" s="19">
        <v>46371</v>
      </c>
      <c r="F9" s="4" t="str">
        <f>IF(R9=0,"",INDEX(criterio!$B$11:$B$22,R9))</f>
        <v>kg</v>
      </c>
      <c r="G9" s="23">
        <f>IFERROR(IF(INDEX(criterio!$B$31:$B$111,MATCH(W9,criterio!$A$31:$A$111,0))=A9,INDEX(criterio!$C$31:$C$111,MATCH(W9,criterio!$A$31:$A$111,0)),""),"")</f>
        <v>5</v>
      </c>
      <c r="H9" s="25"/>
      <c r="I9" s="25"/>
      <c r="J9" s="27" t="str">
        <f>IF(AND(ISNUMBER(AM9),OR(ISBLANK(H9),ISNUMBER(I9))),MAX(0,ROUND(AM9-IF(ISBLANK(H9),0,N(I9))-N(N9),3)),"")</f>
        <v/>
      </c>
      <c r="K9" s="20"/>
      <c r="L9" s="21"/>
      <c r="M9" s="25"/>
      <c r="N9" s="25"/>
      <c r="O9" s="6" t="str">
        <f t="shared" ref="O9:O40" si="0">IF(AL9="Reasignar sobrante","Sobran "&amp;ROUND(N9-MAX(0,H9-N(I9)),3)&amp;" "&amp;F9&amp;" para stock",IF(AND(ISNUMBER(H9),L9="Adelanto",AL9="Por confirmar"),IF(J9&gt;0,IF(J9=1,"Falta ","Faltan ")&amp;ROUND(J9,3)&amp;" "&amp;F9&amp;". Elegí «Sí»"&amp;CHAR(10)&amp;"en «¿Mandar a preparar?».","No falta producir."),IF(AL9="Acordar envases",AL9&amp;" ("&amp;INT(AE9/AK9)&amp;" o "&amp;ROUNDUP(AE9/AK9,0)&amp;")",AL9)&amp;IF(P9="","",CHAR(10)&amp;"Adelanto movido al pico")))</f>
        <v>Previsión</v>
      </c>
      <c r="P9" s="6" t="str">
        <f>IFERROR(IF(AND(INDEX(criterio!$I$31:$I$111,MATCH(W9,criterio!$A$31:$A$111,0))=1,INDEX(criterio!$B$31:$B$111,MATCH(W9,criterio!$A$31:$A$111,0))=A9,ISNUMBER(B9),B9&gt;=criterio!$B$5,D9&lt;=criterio!$B$6,E9&gt;=criterio!$B$5),"Fuera de la previa del 20/12",""),"")</f>
        <v/>
      </c>
      <c r="Q9" s="22">
        <f t="shared" ref="Q9:Q40" si="1">IF(AND(R9&gt;0,ISNUMBER(B9)),IF(U9="mes",EDATE(B9,T9),B9+T9),"")</f>
        <v>46425</v>
      </c>
      <c r="R9">
        <f>IFERROR(MATCH(A9,criterio!$A$11:$A$22,0),0)</f>
        <v>1</v>
      </c>
      <c r="S9">
        <f>IF(R9=0,"",INDEX(criterio!$E$11:$E$22,R9))</f>
        <v>0</v>
      </c>
      <c r="T9">
        <f>IF(R9=0,"",INDEX(criterio!$C$11:$C$22,R9))</f>
        <v>90</v>
      </c>
      <c r="U9" t="str">
        <f>IF(R9=0,"",INDEX(criterio!$D$11:$D$22,R9))</f>
        <v>días</v>
      </c>
      <c r="V9">
        <f>IF(AND(ISNUMBER(B9),B9=Turno!$B$3,OR(AL9="Preparar",AL9="Completar")),MAX($V$8:V8)+1,0)</f>
        <v>0</v>
      </c>
      <c r="W9" t="s">
        <v>35</v>
      </c>
      <c r="Y9" t="str">
        <f>IF(R9=0,"",INDEX(criterio!$I$11:$I$22,R9))</f>
        <v>Freezer −18 °C.
Abierta en heladera: 3 días, sin superar vencimiento.</v>
      </c>
      <c r="Z9">
        <f t="shared" ref="Z9:Z40" si="2">IF(AC9=1,0,IF(A9="","",IF(ISNUMBER(H9),MAX(IF(ISNUMBER(N9),N9,0),H9-IF(ISNUMBER(I9),I9,0),0),IF(ISNUMBER(AM9),MAX(AM9,N(N9)),IF(ISNUMBER(G9),MAX(G9,N(N9)),N(N9))))))</f>
        <v>5</v>
      </c>
      <c r="AA9" t="str">
        <f>IF(OR(A9="",COUNT(B9:C9)&lt;&gt;2),"",IF(OR(WEEKDAY(B9,2)&gt;5,COUNTIF(criterio!$B$25:$E$25,B9)&gt;0),"Cambiar día de elaboración",IF(OR(WEEKDAY(C9,2)&gt;5,COUNTIF(criterio!$B$25:$E$25,C9)&gt;0),"Cambiar día de retiro",IF(SUMIF($B$9:$B$128,B9,$AD$9:$AD$128)&gt;criterio!$D$26,"Más de dos recetas",IF(OR(A9="",NOT(ISNUMBER(B9))),"",IF(OR(NOT(ISNUMBER($Q$2)),NOT(ISNUMBER($Q$3)),$Q$2&lt;=0,$Q$3&lt;=0),"Revisar topes de carga",IF(SUMIFS($Z$9:$Z$128,$B$9:$B$128,B9,$F$9:$F$128,"kg")/$Q$2+SUMIFS($Z$9:$Z$128,$B$9:$B$128,B9,$F$9:$F$128,"L")/$Q$3&gt;1.000001,"Repartir carga del día","")))))))</f>
        <v/>
      </c>
      <c r="AB9" t="str">
        <f>IF(COUNTA(A9:E9,H9:I9,K9:N9)=0,"",IF(R9=0,"Elegir producto",IF(COUNT(B9:E9)&lt;&gt;4,"Completar fechas",IF(E9&lt;D9,"Revisar días de uso",IF(C9+criterio!$B$3&gt;D9,"El retiro llega tarde",IF(AND(N9&lt;&gt;"",OR(NOT(ISNUMBER(N9)),N9&lt;0)),"Revisar cantidad hecha",IF(AND(M9&lt;&gt;"",OR(NOT(ISNUMBER(M9)),M9&lt;0)),"Revisar cant. a adelantar",IF(AND(AND(ISBLANK(H9),L9="Adelanto"),NOT(ISNUMBER(AM9))),"Cargar cant. a adelantar",IF(AND(AND(ISBLANK(H9),L9="Adelanto"),I9&lt;&gt;"",OR(NOT(ISNUMBER(I9)),I9&lt;&gt;0)),"Revisar stock del adelanto",IF(AND(ISNUMBER(N9),N9&gt;0,L9&lt;&gt;"Sí",L9&lt;&gt;"Adelanto",N(M9)&lt;=0),"Hecho sin liberar",IF(AND(ISBLANK(H9),L9&lt;&gt;"Adelanto",OR(I9&lt;&gt;"",L9="Sí")),"Falta pedido real",IF(AND(H9&lt;&gt;"",OR(NOT(ISNUMBER(H9)),H9&lt;0)),"Revisar pedido",IF(AND(ISNUMBER(H9),H9=0,N(M9)&gt;0,N(N9)&gt;0,N(I9)=0),"Reasignar sobrante",IF(AND(ISNUMBER(H9),H9=0,OR(N9&gt;0,I9&gt;0)),"Revisar pedido y cantidades",IF(AND(ISNUMBER(H9),H9=0),"Sin pedido",IF(AND(ISNUMBER(H9),ISBLANK(I9)),"Falta anotar stock",IF(AND(I9&lt;&gt;"",OR(NOT(ISNUMBER(I9)),I9&lt;0,AND(ISNUMBER(H9),I9&gt;H9))),"Revisar stock asignado",IF(AND(ISNUMBER(I9),I9&gt;0,NOT(ISNUMBER(K9))),"Falta vencimiento de stock",IF(AND(ISNUMBER(I9),I9&gt;0,K9&lt;E9+criterio!$B$4),"El stock no cubre el uso",IF(AND(ISNUMBER(H9),ISNUMBER(I9),H9=I9,OR(N9="",N9=0)),"Cubierto con stock",IF(B9=criterio!$B$25,"Jornada bloqueada",IF(B9+S9&gt;C9,"No llega al retiro",IF(Q9&lt;E9,"Vence antes del último uso",IF(Q9&lt;E9+criterio!$B$4,"Falta margen de vida útil",IF(AND(ISBLANK(H9),L9&lt;&gt;"Adelanto",N(N9)&gt;0,N(M9)&gt;0),"Adelanto en pausa",IF(NOT(ISNUMBER(AM9)),"Previsión",IF(AND(ISNUMBER(H9),N(M9)&gt;0,N(N9)&gt;ROUND(H9-N(I9),3)),"Reasignar sobrante",IF(AND(ISNUMBER(N9),N9&gt;ROUND(AM9-N(I9),3)),"Revisar excedente",IF(AND(ISNUMBER(H9),L9&lt;&gt;"Sí",NOT(AND(N(M9)&gt;0,J9=0))),"Por confirmar",IF(J9=0,"Hecho",IF(AND(ISNUMBER(N9),N9&gt;0),"Completar","Preparar")))))))))))))))))))))))))))))))</f>
        <v>Previsión</v>
      </c>
      <c r="AC9">
        <f t="shared" ref="AC9:AC40" si="3">IF(OR(W9&lt;&gt;"",AJ9=0),0,IF(COUNTIFS($A$9:$A$128,A9,$AJ$9:$AJ$128,1,$D$9:$D$128,"&lt;="&amp;E9,$E$9:$E$128,"&gt;="&amp;D9)&gt;1,1,0))</f>
        <v>0</v>
      </c>
      <c r="AD9">
        <f>IF(OR(NOT(ISNUMBER(B9)),A9="",NOT(ISNUMBER(Z9)),Z9&lt;=0),0,IF(COUNTIFS($A$9:A9,A9,$B$9:B9,B9,$Z$9:Z9,"&gt;0")=1,1,0))</f>
        <v>1</v>
      </c>
      <c r="AE9">
        <f t="shared" ref="AE9:AE40" si="4">IF(OR(AK9&lt;=0,AC9=1),0,IF(AND(A9="Tsue",NOT(AND(ISBLANK(H9),L9="Adelanto"))),IF(ISNUMBER(C9),SUMIFS($H$9:$H$128,$A$9:$A$128,A9,$C$9:$C$128,C9,$AC$9:$AC$128,0,$H$9:$H$128,"&gt;0"),0),IF(ISNUMBER(Z9),Z9,0)))</f>
        <v>0</v>
      </c>
      <c r="AF9">
        <f t="shared" ref="AF9:AF40" si="5">IF(OR(AE9&lt;=0,AK9&lt;=0),0,IF(ABS(AE9/AK9-ROUND(AE9/AK9,0))&gt;0.000001,1,0))</f>
        <v>0</v>
      </c>
      <c r="AG9" t="str">
        <f>IF(OR(AF9=0,AK9&lt;=0),"",IF(A9="Tsue","Retiro: ","Tanda: ")&amp;ROUND(AE9,3)&amp;" "&amp;F9&amp;". Acordar "&amp;INT(AE9/AK9)&amp;" o "&amp;ROUNDUP(AE9/AK9,0)&amp;IF(A9="Tsue"," envases de 5 L."," porciones de 500 g."))</f>
        <v/>
      </c>
      <c r="AH9">
        <f>IF(COUNTA(A9:E9,H9:I9,K9:L9,N9)=0,0,IF(OR(NOT(ISNUMBER(B9)),B9&lt;'Por semana'!$C$45,B9&gt;'Por semana'!$J$46+6),1,0))</f>
        <v>0</v>
      </c>
      <c r="AI9">
        <f t="shared" ref="AI9:AI40" si="7">IF(OR(AC9=1,A9=""),0,IF(ISNUMBER(H9),MAX(0,H9),IF(ISNUMBER(G9),G9,0)))</f>
        <v>5</v>
      </c>
      <c r="AJ9">
        <f t="shared" ref="AJ9:AJ40" si="8">IF(OR(A9="",NOT(ISNUMBER(D9)),NOT(ISNUMBER(E9)),AND(ISNUMBER(H9),H9=0)),0,1)</f>
        <v>1</v>
      </c>
      <c r="AK9">
        <f>IF(R9=0,0,IFERROR(INDEX(criterio!$J$11:$J$22,R9)+0,0))</f>
        <v>0</v>
      </c>
      <c r="AL9" t="str">
        <f t="shared" ref="AL9:AL40" si="9">IF(AC9=1,"Usar la fila ya prevista",IF(AND(AF9=1,OR(AB9="Preparar",AB9="Completar",AB9="Por confirmar"),AA9=""),"Acordar envases",IF(AND(OR(AB9="Previsión",AB9="Por confirmar",AB9="Preparar",AB9="Completar"),AA9&lt;&gt;""),AA9,AB9)))</f>
        <v>Previsión</v>
      </c>
      <c r="AM9" t="str">
        <f t="shared" ref="AM9:AM40" si="10">IF(ISNUMBER(H9),H9,IF(AND(ISBLANK(H9),L9="Adelanto",ISNUMBER(M9),M9&gt;0),M9,""))</f>
        <v/>
      </c>
    </row>
    <row r="10" spans="1:39" ht="31" customHeight="1">
      <c r="A10" s="5" t="s">
        <v>34</v>
      </c>
      <c r="B10" s="19">
        <v>46335</v>
      </c>
      <c r="C10" s="19">
        <v>46371</v>
      </c>
      <c r="D10" s="19">
        <v>46372</v>
      </c>
      <c r="E10" s="19">
        <v>46387</v>
      </c>
      <c r="F10" s="4" t="str">
        <f>IF(R10=0,"",INDEX(criterio!$B$11:$B$22,R10))</f>
        <v>kg</v>
      </c>
      <c r="G10" s="23">
        <f>IFERROR(IF(INDEX(criterio!$B$31:$B$111,MATCH(W10,criterio!$A$31:$A$111,0))=A10,INDEX(criterio!$C$31:$C$111,MATCH(W10,criterio!$A$31:$A$111,0)),""),"")</f>
        <v>13</v>
      </c>
      <c r="H10" s="25"/>
      <c r="I10" s="25"/>
      <c r="J10" s="27" t="str">
        <f t="shared" ref="J10:J40" si="11">IF(AND(ISNUMBER(AM10),OR(ISBLANK(H10),ISNUMBER(I10))),MAX(0,ROUND(AM10-IF(ISBLANK(H10),0,N(I10))-N(N10),3)),"")</f>
        <v/>
      </c>
      <c r="K10" s="20"/>
      <c r="L10" s="21"/>
      <c r="M10" s="25"/>
      <c r="N10" s="25"/>
      <c r="O10" s="6" t="str">
        <f t="shared" si="0"/>
        <v>Previsión</v>
      </c>
      <c r="P10" s="6" t="str">
        <f>IFERROR(IF(AND(INDEX(criterio!$I$31:$I$111,MATCH(W10,criterio!$A$31:$A$111,0))=1,INDEX(criterio!$B$31:$B$111,MATCH(W10,criterio!$A$31:$A$111,0))=A10,ISNUMBER(B10),B10&gt;=criterio!$B$5,D10&lt;=criterio!$B$6,E10&gt;=criterio!$B$5),"Fuera de la previa del 20/12",""),"")</f>
        <v/>
      </c>
      <c r="Q10" s="22">
        <f t="shared" si="1"/>
        <v>46425</v>
      </c>
      <c r="R10">
        <f>IFERROR(MATCH(A10,criterio!$A$11:$A$22,0),0)</f>
        <v>1</v>
      </c>
      <c r="S10">
        <f>IF(R10=0,"",INDEX(criterio!$E$11:$E$22,R10))</f>
        <v>0</v>
      </c>
      <c r="T10">
        <f>IF(R10=0,"",INDEX(criterio!$C$11:$C$22,R10))</f>
        <v>90</v>
      </c>
      <c r="U10" t="str">
        <f>IF(R10=0,"",INDEX(criterio!$D$11:$D$22,R10))</f>
        <v>días</v>
      </c>
      <c r="V10">
        <f>IF(AND(ISNUMBER(B10),B10=Turno!$B$3,OR(AL10="Preparar",AL10="Completar")),MAX($V$8:V9)+1,0)</f>
        <v>0</v>
      </c>
      <c r="W10" t="s">
        <v>36</v>
      </c>
      <c r="Y10" t="str">
        <f>IF(R10=0,"",INDEX(criterio!$I$11:$I$22,R10))</f>
        <v>Freezer −18 °C.
Abierta en heladera: 3 días, sin superar vencimiento.</v>
      </c>
      <c r="Z10">
        <f t="shared" si="2"/>
        <v>13</v>
      </c>
      <c r="AA10" t="str">
        <f>IF(OR(A10="",COUNT(B10:C10)&lt;&gt;2),"",IF(OR(WEEKDAY(B10,2)&gt;5,COUNTIF(criterio!$B$25:$E$25,B10)&gt;0),"Cambiar día de elaboración",IF(OR(WEEKDAY(C10,2)&gt;5,COUNTIF(criterio!$B$25:$E$25,C10)&gt;0),"Cambiar día de retiro",IF(SUMIF($B$9:$B$128,B10,$AD$9:$AD$128)&gt;criterio!$D$26,"Más de dos recetas",IF(OR(A10="",NOT(ISNUMBER(B10))),"",IF(OR(NOT(ISNUMBER($Q$2)),NOT(ISNUMBER($Q$3)),$Q$2&lt;=0,$Q$3&lt;=0),"Revisar topes de carga",IF(SUMIFS($Z$9:$Z$128,$B$9:$B$128,B10,$F$9:$F$128,"kg")/$Q$2+SUMIFS($Z$9:$Z$128,$B$9:$B$128,B10,$F$9:$F$128,"L")/$Q$3&gt;1.000001,"Repartir carga del día","")))))))</f>
        <v/>
      </c>
      <c r="AB10" t="str">
        <f>IF(COUNTA(A10:E10,H10:I10,K10:N10)=0,"",IF(R10=0,"Elegir producto",IF(COUNT(B10:E10)&lt;&gt;4,"Completar fechas",IF(E10&lt;D10,"Revisar días de uso",IF(C10+criterio!$B$3&gt;D10,"El retiro llega tarde",IF(AND(N10&lt;&gt;"",OR(NOT(ISNUMBER(N10)),N10&lt;0)),"Revisar cantidad hecha",IF(AND(M10&lt;&gt;"",OR(NOT(ISNUMBER(M10)),M10&lt;0)),"Revisar cant. a adelantar",IF(AND(AND(ISBLANK(H10),L10="Adelanto"),NOT(ISNUMBER(AM10))),"Cargar cant. a adelantar",IF(AND(AND(ISBLANK(H10),L10="Adelanto"),I10&lt;&gt;"",OR(NOT(ISNUMBER(I10)),I10&lt;&gt;0)),"Revisar stock del adelanto",IF(AND(ISNUMBER(N10),N10&gt;0,L10&lt;&gt;"Sí",L10&lt;&gt;"Adelanto",N(M10)&lt;=0),"Hecho sin liberar",IF(AND(ISBLANK(H10),L10&lt;&gt;"Adelanto",OR(I10&lt;&gt;"",L10="Sí")),"Falta pedido real",IF(AND(H10&lt;&gt;"",OR(NOT(ISNUMBER(H10)),H10&lt;0)),"Revisar pedido",IF(AND(ISNUMBER(H10),H10=0,N(M10)&gt;0,N(N10)&gt;0,N(I10)=0),"Reasignar sobrante",IF(AND(ISNUMBER(H10),H10=0,OR(N10&gt;0,I10&gt;0)),"Revisar pedido y cantidades",IF(AND(ISNUMBER(H10),H10=0),"Sin pedido",IF(AND(ISNUMBER(H10),ISBLANK(I10)),"Falta anotar stock",IF(AND(I10&lt;&gt;"",OR(NOT(ISNUMBER(I10)),I10&lt;0,AND(ISNUMBER(H10),I10&gt;H10))),"Revisar stock asignado",IF(AND(ISNUMBER(I10),I10&gt;0,NOT(ISNUMBER(K10))),"Falta vencimiento de stock",IF(AND(ISNUMBER(I10),I10&gt;0,K10&lt;E10+criterio!$B$4),"El stock no cubre el uso",IF(AND(ISNUMBER(H10),ISNUMBER(I10),H10=I10,OR(N10="",N10=0)),"Cubierto con stock",IF(B10=criterio!$B$25,"Jornada bloqueada",IF(B10+S10&gt;C10,"No llega al retiro",IF(Q10&lt;E10,"Vence antes del último uso",IF(Q10&lt;E10+criterio!$B$4,"Falta margen de vida útil",IF(AND(ISBLANK(H10),L10&lt;&gt;"Adelanto",N(N10)&gt;0,N(M10)&gt;0),"Adelanto en pausa",IF(NOT(ISNUMBER(AM10)),"Previsión",IF(AND(ISNUMBER(H10),N(M10)&gt;0,N(N10)&gt;ROUND(H10-N(I10),3)),"Reasignar sobrante",IF(AND(ISNUMBER(N10),N10&gt;ROUND(AM10-N(I10),3)),"Revisar excedente",IF(AND(ISNUMBER(H10),L10&lt;&gt;"Sí",NOT(AND(N(M10)&gt;0,J10=0))),"Por confirmar",IF(J10=0,"Hecho",IF(AND(ISNUMBER(N10),N10&gt;0),"Completar","Preparar")))))))))))))))))))))))))))))))</f>
        <v>Previsión</v>
      </c>
      <c r="AC10">
        <f t="shared" si="3"/>
        <v>0</v>
      </c>
      <c r="AD10">
        <f>IF(OR(NOT(ISNUMBER(B10)),A10="",NOT(ISNUMBER(Z10)),Z10&lt;=0),0,IF(COUNTIFS($A$9:A10,A10,$B$9:B10,B10,$Z$9:Z10,"&gt;0")=1,1,0))</f>
        <v>0</v>
      </c>
      <c r="AE10">
        <f t="shared" si="4"/>
        <v>0</v>
      </c>
      <c r="AF10">
        <f t="shared" si="5"/>
        <v>0</v>
      </c>
      <c r="AG10" t="str">
        <f>IF(OR(AF10=0,AK10&lt;=0),"",IF(A10="Tsue","Retiro: ","Tanda: ")&amp;ROUND(AE10,3)&amp;" "&amp;F10&amp;". Acordar "&amp;INT(AE10/AK10)&amp;" o "&amp;ROUNDUP(AE10/AK10,0)&amp;IF(A10="Tsue"," envases de 5 L."," porciones de 500 g."))</f>
        <v/>
      </c>
      <c r="AH10">
        <f>IF(COUNTA(A10:E10,H10:I10,K10:L10,N10)=0,0,IF(OR(NOT(ISNUMBER(B10)),B10&lt;'Por semana'!$C$45,B10&gt;'Por semana'!$J$46+6),1,0))</f>
        <v>0</v>
      </c>
      <c r="AI10">
        <f t="shared" si="7"/>
        <v>13</v>
      </c>
      <c r="AJ10">
        <f t="shared" si="8"/>
        <v>1</v>
      </c>
      <c r="AK10">
        <f>IF(R10=0,0,IFERROR(INDEX(criterio!$J$11:$J$22,R10)+0,0))</f>
        <v>0</v>
      </c>
      <c r="AL10" t="str">
        <f t="shared" si="9"/>
        <v>Previsión</v>
      </c>
      <c r="AM10" t="str">
        <f t="shared" si="10"/>
        <v/>
      </c>
    </row>
    <row r="11" spans="1:39" ht="31" customHeight="1">
      <c r="A11" s="5" t="s">
        <v>37</v>
      </c>
      <c r="B11" s="19">
        <v>46336</v>
      </c>
      <c r="C11" s="19">
        <v>46356</v>
      </c>
      <c r="D11" s="19">
        <v>46357</v>
      </c>
      <c r="E11" s="19">
        <v>46371</v>
      </c>
      <c r="F11" s="4" t="str">
        <f>IF(R11=0,"",INDEX(criterio!$B$11:$B$22,R11))</f>
        <v>kg</v>
      </c>
      <c r="G11" s="23">
        <f>IFERROR(IF(INDEX(criterio!$B$31:$B$111,MATCH(W11,criterio!$A$31:$A$111,0))=A11,INDEX(criterio!$C$31:$C$111,MATCH(W11,criterio!$A$31:$A$111,0)),""),"")</f>
        <v>5</v>
      </c>
      <c r="H11" s="25"/>
      <c r="I11" s="25"/>
      <c r="J11" s="27" t="str">
        <f t="shared" si="11"/>
        <v/>
      </c>
      <c r="K11" s="20"/>
      <c r="L11" s="21"/>
      <c r="M11" s="25"/>
      <c r="N11" s="25"/>
      <c r="O11" s="6" t="str">
        <f t="shared" si="0"/>
        <v>Previsión</v>
      </c>
      <c r="P11" s="6" t="str">
        <f>IFERROR(IF(AND(INDEX(criterio!$I$31:$I$111,MATCH(W11,criterio!$A$31:$A$111,0))=1,INDEX(criterio!$B$31:$B$111,MATCH(W11,criterio!$A$31:$A$111,0))=A11,ISNUMBER(B11),B11&gt;=criterio!$B$5,D11&lt;=criterio!$B$6,E11&gt;=criterio!$B$5),"Fuera de la previa del 20/12",""),"")</f>
        <v/>
      </c>
      <c r="Q11" s="22">
        <f t="shared" si="1"/>
        <v>46426</v>
      </c>
      <c r="R11">
        <f>IFERROR(MATCH(A11,criterio!$A$11:$A$22,0),0)</f>
        <v>2</v>
      </c>
      <c r="S11">
        <f>IF(R11=0,"",INDEX(criterio!$E$11:$E$22,R11))</f>
        <v>0</v>
      </c>
      <c r="T11">
        <f>IF(R11=0,"",INDEX(criterio!$C$11:$C$22,R11))</f>
        <v>90</v>
      </c>
      <c r="U11" t="str">
        <f>IF(R11=0,"",INDEX(criterio!$D$11:$D$22,R11))</f>
        <v>días</v>
      </c>
      <c r="V11">
        <f>IF(AND(ISNUMBER(B11),B11=Turno!$B$3,OR(AL11="Preparar",AL11="Completar")),MAX($V$8:V10)+1,0)</f>
        <v>0</v>
      </c>
      <c r="W11" t="s">
        <v>38</v>
      </c>
      <c r="Y11" t="str">
        <f>IF(R11=0,"",INDEX(criterio!$I$11:$I$22,R11))</f>
        <v>Freezer −18 °C.
Abierta en heladera: 3 días, sin superar vencimiento.</v>
      </c>
      <c r="Z11">
        <f t="shared" si="2"/>
        <v>5</v>
      </c>
      <c r="AA11" t="str">
        <f>IF(OR(A11="",COUNT(B11:C11)&lt;&gt;2),"",IF(OR(WEEKDAY(B11,2)&gt;5,COUNTIF(criterio!$B$25:$E$25,B11)&gt;0),"Cambiar día de elaboración",IF(OR(WEEKDAY(C11,2)&gt;5,COUNTIF(criterio!$B$25:$E$25,C11)&gt;0),"Cambiar día de retiro",IF(SUMIF($B$9:$B$128,B11,$AD$9:$AD$128)&gt;criterio!$D$26,"Más de dos recetas",IF(OR(A11="",NOT(ISNUMBER(B11))),"",IF(OR(NOT(ISNUMBER($Q$2)),NOT(ISNUMBER($Q$3)),$Q$2&lt;=0,$Q$3&lt;=0),"Revisar topes de carga",IF(SUMIFS($Z$9:$Z$128,$B$9:$B$128,B11,$F$9:$F$128,"kg")/$Q$2+SUMIFS($Z$9:$Z$128,$B$9:$B$128,B11,$F$9:$F$128,"L")/$Q$3&gt;1.000001,"Repartir carga del día","")))))))</f>
        <v/>
      </c>
      <c r="AB11" t="str">
        <f>IF(COUNTA(A11:E11,H11:I11,K11:N11)=0,"",IF(R11=0,"Elegir producto",IF(COUNT(B11:E11)&lt;&gt;4,"Completar fechas",IF(E11&lt;D11,"Revisar días de uso",IF(C11+criterio!$B$3&gt;D11,"El retiro llega tarde",IF(AND(N11&lt;&gt;"",OR(NOT(ISNUMBER(N11)),N11&lt;0)),"Revisar cantidad hecha",IF(AND(M11&lt;&gt;"",OR(NOT(ISNUMBER(M11)),M11&lt;0)),"Revisar cant. a adelantar",IF(AND(AND(ISBLANK(H11),L11="Adelanto"),NOT(ISNUMBER(AM11))),"Cargar cant. a adelantar",IF(AND(AND(ISBLANK(H11),L11="Adelanto"),I11&lt;&gt;"",OR(NOT(ISNUMBER(I11)),I11&lt;&gt;0)),"Revisar stock del adelanto",IF(AND(ISNUMBER(N11),N11&gt;0,L11&lt;&gt;"Sí",L11&lt;&gt;"Adelanto",N(M11)&lt;=0),"Hecho sin liberar",IF(AND(ISBLANK(H11),L11&lt;&gt;"Adelanto",OR(I11&lt;&gt;"",L11="Sí")),"Falta pedido real",IF(AND(H11&lt;&gt;"",OR(NOT(ISNUMBER(H11)),H11&lt;0)),"Revisar pedido",IF(AND(ISNUMBER(H11),H11=0,N(M11)&gt;0,N(N11)&gt;0,N(I11)=0),"Reasignar sobrante",IF(AND(ISNUMBER(H11),H11=0,OR(N11&gt;0,I11&gt;0)),"Revisar pedido y cantidades",IF(AND(ISNUMBER(H11),H11=0),"Sin pedido",IF(AND(ISNUMBER(H11),ISBLANK(I11)),"Falta anotar stock",IF(AND(I11&lt;&gt;"",OR(NOT(ISNUMBER(I11)),I11&lt;0,AND(ISNUMBER(H11),I11&gt;H11))),"Revisar stock asignado",IF(AND(ISNUMBER(I11),I11&gt;0,NOT(ISNUMBER(K11))),"Falta vencimiento de stock",IF(AND(ISNUMBER(I11),I11&gt;0,K11&lt;E11+criterio!$B$4),"El stock no cubre el uso",IF(AND(ISNUMBER(H11),ISNUMBER(I11),H11=I11,OR(N11="",N11=0)),"Cubierto con stock",IF(B11=criterio!$B$25,"Jornada bloqueada",IF(B11+S11&gt;C11,"No llega al retiro",IF(Q11&lt;E11,"Vence antes del último uso",IF(Q11&lt;E11+criterio!$B$4,"Falta margen de vida útil",IF(AND(ISBLANK(H11),L11&lt;&gt;"Adelanto",N(N11)&gt;0,N(M11)&gt;0),"Adelanto en pausa",IF(NOT(ISNUMBER(AM11)),"Previsión",IF(AND(ISNUMBER(H11),N(M11)&gt;0,N(N11)&gt;ROUND(H11-N(I11),3)),"Reasignar sobrante",IF(AND(ISNUMBER(N11),N11&gt;ROUND(AM11-N(I11),3)),"Revisar excedente",IF(AND(ISNUMBER(H11),L11&lt;&gt;"Sí",NOT(AND(N(M11)&gt;0,J11=0))),"Por confirmar",IF(J11=0,"Hecho",IF(AND(ISNUMBER(N11),N11&gt;0),"Completar","Preparar")))))))))))))))))))))))))))))))</f>
        <v>Previsión</v>
      </c>
      <c r="AC11">
        <f t="shared" si="3"/>
        <v>0</v>
      </c>
      <c r="AD11">
        <f>IF(OR(NOT(ISNUMBER(B11)),A11="",NOT(ISNUMBER(Z11)),Z11&lt;=0),0,IF(COUNTIFS($A$9:A11,A11,$B$9:B11,B11,$Z$9:Z11,"&gt;0")=1,1,0))</f>
        <v>1</v>
      </c>
      <c r="AE11">
        <f t="shared" si="4"/>
        <v>0</v>
      </c>
      <c r="AF11">
        <f t="shared" si="5"/>
        <v>0</v>
      </c>
      <c r="AG11" t="str">
        <f>IF(OR(AF11=0,AK11&lt;=0),"",IF(A11="Tsue","Retiro: ","Tanda: ")&amp;ROUND(AE11,3)&amp;" "&amp;F11&amp;". Acordar "&amp;INT(AE11/AK11)&amp;" o "&amp;ROUNDUP(AE11/AK11,0)&amp;IF(A11="Tsue"," envases de 5 L."," porciones de 500 g."))</f>
        <v/>
      </c>
      <c r="AH11">
        <f>IF(COUNTA(A11:E11,H11:I11,K11:L11,N11)=0,0,IF(OR(NOT(ISNUMBER(B11)),B11&lt;'Por semana'!$C$45,B11&gt;'Por semana'!$J$46+6),1,0))</f>
        <v>0</v>
      </c>
      <c r="AI11">
        <f t="shared" si="7"/>
        <v>5</v>
      </c>
      <c r="AJ11">
        <f t="shared" si="8"/>
        <v>1</v>
      </c>
      <c r="AK11">
        <f>IF(R11=0,0,IFERROR(INDEX(criterio!$J$11:$J$22,R11)+0,0))</f>
        <v>0</v>
      </c>
      <c r="AL11" t="str">
        <f t="shared" si="9"/>
        <v>Previsión</v>
      </c>
      <c r="AM11" t="str">
        <f t="shared" si="10"/>
        <v/>
      </c>
    </row>
    <row r="12" spans="1:39" ht="31" customHeight="1">
      <c r="A12" s="5" t="s">
        <v>37</v>
      </c>
      <c r="B12" s="19">
        <v>46336</v>
      </c>
      <c r="C12" s="19">
        <v>46371</v>
      </c>
      <c r="D12" s="19">
        <v>46372</v>
      </c>
      <c r="E12" s="19">
        <v>46387</v>
      </c>
      <c r="F12" s="4" t="str">
        <f>IF(R12=0,"",INDEX(criterio!$B$11:$B$22,R12))</f>
        <v>kg</v>
      </c>
      <c r="G12" s="23">
        <f>IFERROR(IF(INDEX(criterio!$B$31:$B$111,MATCH(W12,criterio!$A$31:$A$111,0))=A12,INDEX(criterio!$C$31:$C$111,MATCH(W12,criterio!$A$31:$A$111,0)),""),"")</f>
        <v>13</v>
      </c>
      <c r="H12" s="25"/>
      <c r="I12" s="25"/>
      <c r="J12" s="27" t="str">
        <f t="shared" si="11"/>
        <v/>
      </c>
      <c r="K12" s="20"/>
      <c r="L12" s="21"/>
      <c r="M12" s="25"/>
      <c r="N12" s="25"/>
      <c r="O12" s="6" t="str">
        <f t="shared" si="0"/>
        <v>Previsión</v>
      </c>
      <c r="P12" s="6" t="str">
        <f>IFERROR(IF(AND(INDEX(criterio!$I$31:$I$111,MATCH(W12,criterio!$A$31:$A$111,0))=1,INDEX(criterio!$B$31:$B$111,MATCH(W12,criterio!$A$31:$A$111,0))=A12,ISNUMBER(B12),B12&gt;=criterio!$B$5,D12&lt;=criterio!$B$6,E12&gt;=criterio!$B$5),"Fuera de la previa del 20/12",""),"")</f>
        <v/>
      </c>
      <c r="Q12" s="22">
        <f t="shared" si="1"/>
        <v>46426</v>
      </c>
      <c r="R12">
        <f>IFERROR(MATCH(A12,criterio!$A$11:$A$22,0),0)</f>
        <v>2</v>
      </c>
      <c r="S12">
        <f>IF(R12=0,"",INDEX(criterio!$E$11:$E$22,R12))</f>
        <v>0</v>
      </c>
      <c r="T12">
        <f>IF(R12=0,"",INDEX(criterio!$C$11:$C$22,R12))</f>
        <v>90</v>
      </c>
      <c r="U12" t="str">
        <f>IF(R12=0,"",INDEX(criterio!$D$11:$D$22,R12))</f>
        <v>días</v>
      </c>
      <c r="V12">
        <f>IF(AND(ISNUMBER(B12),B12=Turno!$B$3,OR(AL12="Preparar",AL12="Completar")),MAX($V$8:V11)+1,0)</f>
        <v>0</v>
      </c>
      <c r="W12" t="s">
        <v>39</v>
      </c>
      <c r="Y12" t="str">
        <f>IF(R12=0,"",INDEX(criterio!$I$11:$I$22,R12))</f>
        <v>Freezer −18 °C.
Abierta en heladera: 3 días, sin superar vencimiento.</v>
      </c>
      <c r="Z12">
        <f t="shared" si="2"/>
        <v>13</v>
      </c>
      <c r="AA12" t="str">
        <f>IF(OR(A12="",COUNT(B12:C12)&lt;&gt;2),"",IF(OR(WEEKDAY(B12,2)&gt;5,COUNTIF(criterio!$B$25:$E$25,B12)&gt;0),"Cambiar día de elaboración",IF(OR(WEEKDAY(C12,2)&gt;5,COUNTIF(criterio!$B$25:$E$25,C12)&gt;0),"Cambiar día de retiro",IF(SUMIF($B$9:$B$128,B12,$AD$9:$AD$128)&gt;criterio!$D$26,"Más de dos recetas",IF(OR(A12="",NOT(ISNUMBER(B12))),"",IF(OR(NOT(ISNUMBER($Q$2)),NOT(ISNUMBER($Q$3)),$Q$2&lt;=0,$Q$3&lt;=0),"Revisar topes de carga",IF(SUMIFS($Z$9:$Z$128,$B$9:$B$128,B12,$F$9:$F$128,"kg")/$Q$2+SUMIFS($Z$9:$Z$128,$B$9:$B$128,B12,$F$9:$F$128,"L")/$Q$3&gt;1.000001,"Repartir carga del día","")))))))</f>
        <v/>
      </c>
      <c r="AB12" t="str">
        <f>IF(COUNTA(A12:E12,H12:I12,K12:N12)=0,"",IF(R12=0,"Elegir producto",IF(COUNT(B12:E12)&lt;&gt;4,"Completar fechas",IF(E12&lt;D12,"Revisar días de uso",IF(C12+criterio!$B$3&gt;D12,"El retiro llega tarde",IF(AND(N12&lt;&gt;"",OR(NOT(ISNUMBER(N12)),N12&lt;0)),"Revisar cantidad hecha",IF(AND(M12&lt;&gt;"",OR(NOT(ISNUMBER(M12)),M12&lt;0)),"Revisar cant. a adelantar",IF(AND(AND(ISBLANK(H12),L12="Adelanto"),NOT(ISNUMBER(AM12))),"Cargar cant. a adelantar",IF(AND(AND(ISBLANK(H12),L12="Adelanto"),I12&lt;&gt;"",OR(NOT(ISNUMBER(I12)),I12&lt;&gt;0)),"Revisar stock del adelanto",IF(AND(ISNUMBER(N12),N12&gt;0,L12&lt;&gt;"Sí",L12&lt;&gt;"Adelanto",N(M12)&lt;=0),"Hecho sin liberar",IF(AND(ISBLANK(H12),L12&lt;&gt;"Adelanto",OR(I12&lt;&gt;"",L12="Sí")),"Falta pedido real",IF(AND(H12&lt;&gt;"",OR(NOT(ISNUMBER(H12)),H12&lt;0)),"Revisar pedido",IF(AND(ISNUMBER(H12),H12=0,N(M12)&gt;0,N(N12)&gt;0,N(I12)=0),"Reasignar sobrante",IF(AND(ISNUMBER(H12),H12=0,OR(N12&gt;0,I12&gt;0)),"Revisar pedido y cantidades",IF(AND(ISNUMBER(H12),H12=0),"Sin pedido",IF(AND(ISNUMBER(H12),ISBLANK(I12)),"Falta anotar stock",IF(AND(I12&lt;&gt;"",OR(NOT(ISNUMBER(I12)),I12&lt;0,AND(ISNUMBER(H12),I12&gt;H12))),"Revisar stock asignado",IF(AND(ISNUMBER(I12),I12&gt;0,NOT(ISNUMBER(K12))),"Falta vencimiento de stock",IF(AND(ISNUMBER(I12),I12&gt;0,K12&lt;E12+criterio!$B$4),"El stock no cubre el uso",IF(AND(ISNUMBER(H12),ISNUMBER(I12),H12=I12,OR(N12="",N12=0)),"Cubierto con stock",IF(B12=criterio!$B$25,"Jornada bloqueada",IF(B12+S12&gt;C12,"No llega al retiro",IF(Q12&lt;E12,"Vence antes del último uso",IF(Q12&lt;E12+criterio!$B$4,"Falta margen de vida útil",IF(AND(ISBLANK(H12),L12&lt;&gt;"Adelanto",N(N12)&gt;0,N(M12)&gt;0),"Adelanto en pausa",IF(NOT(ISNUMBER(AM12)),"Previsión",IF(AND(ISNUMBER(H12),N(M12)&gt;0,N(N12)&gt;ROUND(H12-N(I12),3)),"Reasignar sobrante",IF(AND(ISNUMBER(N12),N12&gt;ROUND(AM12-N(I12),3)),"Revisar excedente",IF(AND(ISNUMBER(H12),L12&lt;&gt;"Sí",NOT(AND(N(M12)&gt;0,J12=0))),"Por confirmar",IF(J12=0,"Hecho",IF(AND(ISNUMBER(N12),N12&gt;0),"Completar","Preparar")))))))))))))))))))))))))))))))</f>
        <v>Previsión</v>
      </c>
      <c r="AC12">
        <f t="shared" si="3"/>
        <v>0</v>
      </c>
      <c r="AD12">
        <f>IF(OR(NOT(ISNUMBER(B12)),A12="",NOT(ISNUMBER(Z12)),Z12&lt;=0),0,IF(COUNTIFS($A$9:A12,A12,$B$9:B12,B12,$Z$9:Z12,"&gt;0")=1,1,0))</f>
        <v>0</v>
      </c>
      <c r="AE12">
        <f t="shared" si="4"/>
        <v>0</v>
      </c>
      <c r="AF12">
        <f t="shared" si="5"/>
        <v>0</v>
      </c>
      <c r="AG12" t="str">
        <f>IF(OR(AF12=0,AK12&lt;=0),"",IF(A12="Tsue","Retiro: ","Tanda: ")&amp;ROUND(AE12,3)&amp;" "&amp;F12&amp;". Acordar "&amp;INT(AE12/AK12)&amp;" o "&amp;ROUNDUP(AE12/AK12,0)&amp;IF(A12="Tsue"," envases de 5 L."," porciones de 500 g."))</f>
        <v/>
      </c>
      <c r="AH12">
        <f>IF(COUNTA(A12:E12,H12:I12,K12:L12,N12)=0,0,IF(OR(NOT(ISNUMBER(B12)),B12&lt;'Por semana'!$C$45,B12&gt;'Por semana'!$J$46+6),1,0))</f>
        <v>0</v>
      </c>
      <c r="AI12">
        <f t="shared" si="7"/>
        <v>13</v>
      </c>
      <c r="AJ12">
        <f t="shared" si="8"/>
        <v>1</v>
      </c>
      <c r="AK12">
        <f>IF(R12=0,0,IFERROR(INDEX(criterio!$J$11:$J$22,R12)+0,0))</f>
        <v>0</v>
      </c>
      <c r="AL12" t="str">
        <f t="shared" si="9"/>
        <v>Previsión</v>
      </c>
      <c r="AM12" t="str">
        <f t="shared" si="10"/>
        <v/>
      </c>
    </row>
    <row r="13" spans="1:39" ht="31" customHeight="1">
      <c r="A13" s="5" t="s">
        <v>40</v>
      </c>
      <c r="B13" s="19">
        <v>46343</v>
      </c>
      <c r="C13" s="19">
        <v>46356</v>
      </c>
      <c r="D13" s="19">
        <v>46357</v>
      </c>
      <c r="E13" s="19">
        <v>46371</v>
      </c>
      <c r="F13" s="4" t="str">
        <f>IF(R13=0,"",INDEX(criterio!$B$11:$B$22,R13))</f>
        <v>L</v>
      </c>
      <c r="G13" s="24">
        <f>IFERROR(IF(INDEX(criterio!$B$31:$B$111,MATCH(W13,criterio!$A$31:$A$111,0))=A13,INDEX(criterio!$C$31:$C$111,MATCH(W13,criterio!$A$31:$A$111,0)),""),"")</f>
        <v>20</v>
      </c>
      <c r="H13" s="26"/>
      <c r="I13" s="26"/>
      <c r="J13" s="28" t="str">
        <f t="shared" si="11"/>
        <v/>
      </c>
      <c r="K13" s="20"/>
      <c r="L13" s="21"/>
      <c r="M13" s="26"/>
      <c r="N13" s="26"/>
      <c r="O13" s="6" t="str">
        <f t="shared" si="0"/>
        <v>Previsión</v>
      </c>
      <c r="P13" s="6" t="str">
        <f>IFERROR(IF(AND(INDEX(criterio!$I$31:$I$111,MATCH(W13,criterio!$A$31:$A$111,0))=1,INDEX(criterio!$B$31:$B$111,MATCH(W13,criterio!$A$31:$A$111,0))=A13,ISNUMBER(B13),B13&gt;=criterio!$B$5,D13&lt;=criterio!$B$6,E13&gt;=criterio!$B$5),"Fuera de la previa del 20/12",""),"")</f>
        <v/>
      </c>
      <c r="Q13" s="22">
        <f t="shared" si="1"/>
        <v>46373</v>
      </c>
      <c r="R13">
        <f>IFERROR(MATCH(A13,criterio!$A$11:$A$22,0),0)</f>
        <v>8</v>
      </c>
      <c r="S13">
        <f>IF(R13=0,"",INDEX(criterio!$E$11:$E$22,R13))</f>
        <v>0</v>
      </c>
      <c r="T13">
        <f>IF(R13=0,"",INDEX(criterio!$C$11:$C$22,R13))</f>
        <v>1</v>
      </c>
      <c r="U13" t="str">
        <f>IF(R13=0,"",INDEX(criterio!$D$11:$D$22,R13))</f>
        <v>mes</v>
      </c>
      <c r="V13">
        <f>IF(AND(ISNUMBER(B13),B13=Turno!$B$3,OR(AL13="Preparar",AL13="Completar")),MAX($V$8:V12)+1,0)</f>
        <v>0</v>
      </c>
      <c r="W13" t="s">
        <v>41</v>
      </c>
      <c r="Y13" t="str">
        <f>IF(R13=0,"",INDEX(criterio!$I$11:$I$22,R13))</f>
        <v>Lugar fresco y seco, 15–30 °C.
Proteger de luz y calor.</v>
      </c>
      <c r="Z13">
        <f t="shared" si="2"/>
        <v>20</v>
      </c>
      <c r="AA13" t="str">
        <f>IF(OR(A13="",COUNT(B13:C13)&lt;&gt;2),"",IF(OR(WEEKDAY(B13,2)&gt;5,COUNTIF(criterio!$B$25:$E$25,B13)&gt;0),"Cambiar día de elaboración",IF(OR(WEEKDAY(C13,2)&gt;5,COUNTIF(criterio!$B$25:$E$25,C13)&gt;0),"Cambiar día de retiro",IF(SUMIF($B$9:$B$128,B13,$AD$9:$AD$128)&gt;criterio!$D$26,"Más de dos recetas",IF(OR(A13="",NOT(ISNUMBER(B13))),"",IF(OR(NOT(ISNUMBER($Q$2)),NOT(ISNUMBER($Q$3)),$Q$2&lt;=0,$Q$3&lt;=0),"Revisar topes de carga",IF(SUMIFS($Z$9:$Z$128,$B$9:$B$128,B13,$F$9:$F$128,"kg")/$Q$2+SUMIFS($Z$9:$Z$128,$B$9:$B$128,B13,$F$9:$F$128,"L")/$Q$3&gt;1.000001,"Repartir carga del día","")))))))</f>
        <v/>
      </c>
      <c r="AB13" t="str">
        <f>IF(COUNTA(A13:E13,H13:I13,K13:N13)=0,"",IF(R13=0,"Elegir producto",IF(COUNT(B13:E13)&lt;&gt;4,"Completar fechas",IF(E13&lt;D13,"Revisar días de uso",IF(C13+criterio!$B$3&gt;D13,"El retiro llega tarde",IF(AND(N13&lt;&gt;"",OR(NOT(ISNUMBER(N13)),N13&lt;0)),"Revisar cantidad hecha",IF(AND(M13&lt;&gt;"",OR(NOT(ISNUMBER(M13)),M13&lt;0)),"Revisar cant. a adelantar",IF(AND(AND(ISBLANK(H13),L13="Adelanto"),NOT(ISNUMBER(AM13))),"Cargar cant. a adelantar",IF(AND(AND(ISBLANK(H13),L13="Adelanto"),I13&lt;&gt;"",OR(NOT(ISNUMBER(I13)),I13&lt;&gt;0)),"Revisar stock del adelanto",IF(AND(ISNUMBER(N13),N13&gt;0,L13&lt;&gt;"Sí",L13&lt;&gt;"Adelanto",N(M13)&lt;=0),"Hecho sin liberar",IF(AND(ISBLANK(H13),L13&lt;&gt;"Adelanto",OR(I13&lt;&gt;"",L13="Sí")),"Falta pedido real",IF(AND(H13&lt;&gt;"",OR(NOT(ISNUMBER(H13)),H13&lt;0)),"Revisar pedido",IF(AND(ISNUMBER(H13),H13=0,N(M13)&gt;0,N(N13)&gt;0,N(I13)=0),"Reasignar sobrante",IF(AND(ISNUMBER(H13),H13=0,OR(N13&gt;0,I13&gt;0)),"Revisar pedido y cantidades",IF(AND(ISNUMBER(H13),H13=0),"Sin pedido",IF(AND(ISNUMBER(H13),ISBLANK(I13)),"Falta anotar stock",IF(AND(I13&lt;&gt;"",OR(NOT(ISNUMBER(I13)),I13&lt;0,AND(ISNUMBER(H13),I13&gt;H13))),"Revisar stock asignado",IF(AND(ISNUMBER(I13),I13&gt;0,NOT(ISNUMBER(K13))),"Falta vencimiento de stock",IF(AND(ISNUMBER(I13),I13&gt;0,K13&lt;E13+criterio!$B$4),"El stock no cubre el uso",IF(AND(ISNUMBER(H13),ISNUMBER(I13),H13=I13,OR(N13="",N13=0)),"Cubierto con stock",IF(B13=criterio!$B$25,"Jornada bloqueada",IF(B13+S13&gt;C13,"No llega al retiro",IF(Q13&lt;E13,"Vence antes del último uso",IF(Q13&lt;E13+criterio!$B$4,"Falta margen de vida útil",IF(AND(ISBLANK(H13),L13&lt;&gt;"Adelanto",N(N13)&gt;0,N(M13)&gt;0),"Adelanto en pausa",IF(NOT(ISNUMBER(AM13)),"Previsión",IF(AND(ISNUMBER(H13),N(M13)&gt;0,N(N13)&gt;ROUND(H13-N(I13),3)),"Reasignar sobrante",IF(AND(ISNUMBER(N13),N13&gt;ROUND(AM13-N(I13),3)),"Revisar excedente",IF(AND(ISNUMBER(H13),L13&lt;&gt;"Sí",NOT(AND(N(M13)&gt;0,J13=0))),"Por confirmar",IF(J13=0,"Hecho",IF(AND(ISNUMBER(N13),N13&gt;0),"Completar","Preparar")))))))))))))))))))))))))))))))</f>
        <v>Previsión</v>
      </c>
      <c r="AC13">
        <f t="shared" si="3"/>
        <v>0</v>
      </c>
      <c r="AD13">
        <f>IF(OR(NOT(ISNUMBER(B13)),A13="",NOT(ISNUMBER(Z13)),Z13&lt;=0),0,IF(COUNTIFS($A$9:A13,A13,$B$9:B13,B13,$Z$9:Z13,"&gt;0")=1,1,0))</f>
        <v>1</v>
      </c>
      <c r="AE13">
        <f t="shared" si="4"/>
        <v>0</v>
      </c>
      <c r="AF13">
        <f t="shared" si="5"/>
        <v>0</v>
      </c>
      <c r="AG13" t="str">
        <f>IF(OR(AF13=0,AK13&lt;=0),"",IF(A13="Tsue","Retiro: ","Tanda: ")&amp;ROUND(AE13,3)&amp;" "&amp;F13&amp;". Acordar "&amp;INT(AE13/AK13)&amp;" o "&amp;ROUNDUP(AE13/AK13,0)&amp;IF(A13="Tsue"," envases de 5 L."," porciones de 500 g."))</f>
        <v/>
      </c>
      <c r="AH13">
        <f>IF(COUNTA(A13:E13,H13:I13,K13:L13,N13)=0,0,IF(OR(NOT(ISNUMBER(B13)),B13&lt;'Por semana'!$C$45,B13&gt;'Por semana'!$J$46+6),1,0))</f>
        <v>0</v>
      </c>
      <c r="AI13">
        <f t="shared" si="7"/>
        <v>20</v>
      </c>
      <c r="AJ13">
        <f t="shared" si="8"/>
        <v>1</v>
      </c>
      <c r="AK13">
        <f>IF(R13=0,0,IFERROR(INDEX(criterio!$J$11:$J$22,R13)+0,0))</f>
        <v>5</v>
      </c>
      <c r="AL13" t="str">
        <f t="shared" si="9"/>
        <v>Previsión</v>
      </c>
      <c r="AM13" t="str">
        <f t="shared" si="10"/>
        <v/>
      </c>
    </row>
    <row r="14" spans="1:39" ht="31" customHeight="1">
      <c r="A14" s="5" t="s">
        <v>42</v>
      </c>
      <c r="B14" s="19">
        <v>46344</v>
      </c>
      <c r="C14" s="19">
        <v>46356</v>
      </c>
      <c r="D14" s="19">
        <v>46357</v>
      </c>
      <c r="E14" s="19">
        <v>46371</v>
      </c>
      <c r="F14" s="4" t="str">
        <f>IF(R14=0,"",INDEX(criterio!$B$11:$B$22,R14))</f>
        <v>kg</v>
      </c>
      <c r="G14" s="23">
        <f>IFERROR(IF(INDEX(criterio!$B$31:$B$111,MATCH(W14,criterio!$A$31:$A$111,0))=A14,INDEX(criterio!$C$31:$C$111,MATCH(W14,criterio!$A$31:$A$111,0)),""),"")</f>
        <v>3</v>
      </c>
      <c r="H14" s="25"/>
      <c r="I14" s="25"/>
      <c r="J14" s="27" t="str">
        <f t="shared" si="11"/>
        <v/>
      </c>
      <c r="K14" s="20"/>
      <c r="L14" s="21"/>
      <c r="M14" s="25"/>
      <c r="N14" s="25"/>
      <c r="O14" s="6" t="str">
        <f t="shared" si="0"/>
        <v>Previsión</v>
      </c>
      <c r="P14" s="6" t="str">
        <f>IFERROR(IF(AND(INDEX(criterio!$I$31:$I$111,MATCH(W14,criterio!$A$31:$A$111,0))=1,INDEX(criterio!$B$31:$B$111,MATCH(W14,criterio!$A$31:$A$111,0))=A14,ISNUMBER(B14),B14&gt;=criterio!$B$5,D14&lt;=criterio!$B$6,E14&gt;=criterio!$B$5),"Fuera de la previa del 20/12",""),"")</f>
        <v/>
      </c>
      <c r="Q14" s="22">
        <f t="shared" si="1"/>
        <v>46404</v>
      </c>
      <c r="R14">
        <f>IFERROR(MATCH(A14,criterio!$A$11:$A$22,0),0)</f>
        <v>4</v>
      </c>
      <c r="S14">
        <f>IF(R14=0,"",INDEX(criterio!$E$11:$E$22,R14))</f>
        <v>0</v>
      </c>
      <c r="T14">
        <f>IF(R14=0,"",INDEX(criterio!$C$11:$C$22,R14))</f>
        <v>60</v>
      </c>
      <c r="U14" t="str">
        <f>IF(R14=0,"",INDEX(criterio!$D$11:$D$22,R14))</f>
        <v>días</v>
      </c>
      <c r="V14">
        <f>IF(AND(ISNUMBER(B14),B14=Turno!$B$3,OR(AL14="Preparar",AL14="Completar")),MAX($V$8:V13)+1,0)</f>
        <v>0</v>
      </c>
      <c r="W14" t="s">
        <v>43</v>
      </c>
      <c r="Y14" t="str">
        <f>IF(R14=0,"",INDEX(criterio!$I$11:$I$22,R14))</f>
        <v>Seco, cerrado y sin humedad.
Abierto: 7 días, sin superar vencimiento.</v>
      </c>
      <c r="Z14">
        <f t="shared" si="2"/>
        <v>3</v>
      </c>
      <c r="AA14" t="str">
        <f>IF(OR(A14="",COUNT(B14:C14)&lt;&gt;2),"",IF(OR(WEEKDAY(B14,2)&gt;5,COUNTIF(criterio!$B$25:$E$25,B14)&gt;0),"Cambiar día de elaboración",IF(OR(WEEKDAY(C14,2)&gt;5,COUNTIF(criterio!$B$25:$E$25,C14)&gt;0),"Cambiar día de retiro",IF(SUMIF($B$9:$B$128,B14,$AD$9:$AD$128)&gt;criterio!$D$26,"Más de dos recetas",IF(OR(A14="",NOT(ISNUMBER(B14))),"",IF(OR(NOT(ISNUMBER($Q$2)),NOT(ISNUMBER($Q$3)),$Q$2&lt;=0,$Q$3&lt;=0),"Revisar topes de carga",IF(SUMIFS($Z$9:$Z$128,$B$9:$B$128,B14,$F$9:$F$128,"kg")/$Q$2+SUMIFS($Z$9:$Z$128,$B$9:$B$128,B14,$F$9:$F$128,"L")/$Q$3&gt;1.000001,"Repartir carga del día","")))))))</f>
        <v/>
      </c>
      <c r="AB14" t="str">
        <f>IF(COUNTA(A14:E14,H14:I14,K14:N14)=0,"",IF(R14=0,"Elegir producto",IF(COUNT(B14:E14)&lt;&gt;4,"Completar fechas",IF(E14&lt;D14,"Revisar días de uso",IF(C14+criterio!$B$3&gt;D14,"El retiro llega tarde",IF(AND(N14&lt;&gt;"",OR(NOT(ISNUMBER(N14)),N14&lt;0)),"Revisar cantidad hecha",IF(AND(M14&lt;&gt;"",OR(NOT(ISNUMBER(M14)),M14&lt;0)),"Revisar cant. a adelantar",IF(AND(AND(ISBLANK(H14),L14="Adelanto"),NOT(ISNUMBER(AM14))),"Cargar cant. a adelantar",IF(AND(AND(ISBLANK(H14),L14="Adelanto"),I14&lt;&gt;"",OR(NOT(ISNUMBER(I14)),I14&lt;&gt;0)),"Revisar stock del adelanto",IF(AND(ISNUMBER(N14),N14&gt;0,L14&lt;&gt;"Sí",L14&lt;&gt;"Adelanto",N(M14)&lt;=0),"Hecho sin liberar",IF(AND(ISBLANK(H14),L14&lt;&gt;"Adelanto",OR(I14&lt;&gt;"",L14="Sí")),"Falta pedido real",IF(AND(H14&lt;&gt;"",OR(NOT(ISNUMBER(H14)),H14&lt;0)),"Revisar pedido",IF(AND(ISNUMBER(H14),H14=0,N(M14)&gt;0,N(N14)&gt;0,N(I14)=0),"Reasignar sobrante",IF(AND(ISNUMBER(H14),H14=0,OR(N14&gt;0,I14&gt;0)),"Revisar pedido y cantidades",IF(AND(ISNUMBER(H14),H14=0),"Sin pedido",IF(AND(ISNUMBER(H14),ISBLANK(I14)),"Falta anotar stock",IF(AND(I14&lt;&gt;"",OR(NOT(ISNUMBER(I14)),I14&lt;0,AND(ISNUMBER(H14),I14&gt;H14))),"Revisar stock asignado",IF(AND(ISNUMBER(I14),I14&gt;0,NOT(ISNUMBER(K14))),"Falta vencimiento de stock",IF(AND(ISNUMBER(I14),I14&gt;0,K14&lt;E14+criterio!$B$4),"El stock no cubre el uso",IF(AND(ISNUMBER(H14),ISNUMBER(I14),H14=I14,OR(N14="",N14=0)),"Cubierto con stock",IF(B14=criterio!$B$25,"Jornada bloqueada",IF(B14+S14&gt;C14,"No llega al retiro",IF(Q14&lt;E14,"Vence antes del último uso",IF(Q14&lt;E14+criterio!$B$4,"Falta margen de vida útil",IF(AND(ISBLANK(H14),L14&lt;&gt;"Adelanto",N(N14)&gt;0,N(M14)&gt;0),"Adelanto en pausa",IF(NOT(ISNUMBER(AM14)),"Previsión",IF(AND(ISNUMBER(H14),N(M14)&gt;0,N(N14)&gt;ROUND(H14-N(I14),3)),"Reasignar sobrante",IF(AND(ISNUMBER(N14),N14&gt;ROUND(AM14-N(I14),3)),"Revisar excedente",IF(AND(ISNUMBER(H14),L14&lt;&gt;"Sí",NOT(AND(N(M14)&gt;0,J14=0))),"Por confirmar",IF(J14=0,"Hecho",IF(AND(ISNUMBER(N14),N14&gt;0),"Completar","Preparar")))))))))))))))))))))))))))))))</f>
        <v>Previsión</v>
      </c>
      <c r="AC14">
        <f t="shared" si="3"/>
        <v>0</v>
      </c>
      <c r="AD14">
        <f>IF(OR(NOT(ISNUMBER(B14)),A14="",NOT(ISNUMBER(Z14)),Z14&lt;=0),0,IF(COUNTIFS($A$9:A14,A14,$B$9:B14,B14,$Z$9:Z14,"&gt;0")=1,1,0))</f>
        <v>1</v>
      </c>
      <c r="AE14">
        <f t="shared" si="4"/>
        <v>0</v>
      </c>
      <c r="AF14">
        <f t="shared" si="5"/>
        <v>0</v>
      </c>
      <c r="AG14" t="str">
        <f>IF(OR(AF14=0,AK14&lt;=0),"",IF(A14="Tsue","Retiro: ","Tanda: ")&amp;ROUND(AE14,3)&amp;" "&amp;F14&amp;". Acordar "&amp;INT(AE14/AK14)&amp;" o "&amp;ROUNDUP(AE14/AK14,0)&amp;IF(A14="Tsue"," envases de 5 L."," porciones de 500 g."))</f>
        <v/>
      </c>
      <c r="AH14">
        <f>IF(COUNTA(A14:E14,H14:I14,K14:L14,N14)=0,0,IF(OR(NOT(ISNUMBER(B14)),B14&lt;'Por semana'!$C$45,B14&gt;'Por semana'!$J$46+6),1,0))</f>
        <v>0</v>
      </c>
      <c r="AI14">
        <f t="shared" si="7"/>
        <v>3</v>
      </c>
      <c r="AJ14">
        <f t="shared" si="8"/>
        <v>1</v>
      </c>
      <c r="AK14">
        <f>IF(R14=0,0,IFERROR(INDEX(criterio!$J$11:$J$22,R14)+0,0))</f>
        <v>0</v>
      </c>
      <c r="AL14" t="str">
        <f t="shared" si="9"/>
        <v>Previsión</v>
      </c>
      <c r="AM14" t="str">
        <f t="shared" si="10"/>
        <v/>
      </c>
    </row>
    <row r="15" spans="1:39" ht="31" customHeight="1">
      <c r="A15" s="5" t="s">
        <v>42</v>
      </c>
      <c r="B15" s="19">
        <v>46344</v>
      </c>
      <c r="C15" s="19">
        <v>46371</v>
      </c>
      <c r="D15" s="19">
        <v>46372</v>
      </c>
      <c r="E15" s="19">
        <v>46387</v>
      </c>
      <c r="F15" s="4" t="str">
        <f>IF(R15=0,"",INDEX(criterio!$B$11:$B$22,R15))</f>
        <v>kg</v>
      </c>
      <c r="G15" s="23">
        <f>IFERROR(IF(INDEX(criterio!$B$31:$B$111,MATCH(W15,criterio!$A$31:$A$111,0))=A15,INDEX(criterio!$C$31:$C$111,MATCH(W15,criterio!$A$31:$A$111,0)),""),"")</f>
        <v>4</v>
      </c>
      <c r="H15" s="25"/>
      <c r="I15" s="25"/>
      <c r="J15" s="27" t="str">
        <f t="shared" si="11"/>
        <v/>
      </c>
      <c r="K15" s="20"/>
      <c r="L15" s="21"/>
      <c r="M15" s="25"/>
      <c r="N15" s="25"/>
      <c r="O15" s="6" t="str">
        <f t="shared" si="0"/>
        <v>Previsión</v>
      </c>
      <c r="P15" s="6" t="str">
        <f>IFERROR(IF(AND(INDEX(criterio!$I$31:$I$111,MATCH(W15,criterio!$A$31:$A$111,0))=1,INDEX(criterio!$B$31:$B$111,MATCH(W15,criterio!$A$31:$A$111,0))=A15,ISNUMBER(B15),B15&gt;=criterio!$B$5,D15&lt;=criterio!$B$6,E15&gt;=criterio!$B$5),"Fuera de la previa del 20/12",""),"")</f>
        <v/>
      </c>
      <c r="Q15" s="22">
        <f t="shared" si="1"/>
        <v>46404</v>
      </c>
      <c r="R15">
        <f>IFERROR(MATCH(A15,criterio!$A$11:$A$22,0),0)</f>
        <v>4</v>
      </c>
      <c r="S15">
        <f>IF(R15=0,"",INDEX(criterio!$E$11:$E$22,R15))</f>
        <v>0</v>
      </c>
      <c r="T15">
        <f>IF(R15=0,"",INDEX(criterio!$C$11:$C$22,R15))</f>
        <v>60</v>
      </c>
      <c r="U15" t="str">
        <f>IF(R15=0,"",INDEX(criterio!$D$11:$D$22,R15))</f>
        <v>días</v>
      </c>
      <c r="V15">
        <f>IF(AND(ISNUMBER(B15),B15=Turno!$B$3,OR(AL15="Preparar",AL15="Completar")),MAX($V$8:V14)+1,0)</f>
        <v>0</v>
      </c>
      <c r="W15" t="s">
        <v>44</v>
      </c>
      <c r="Y15" t="str">
        <f>IF(R15=0,"",INDEX(criterio!$I$11:$I$22,R15))</f>
        <v>Seco, cerrado y sin humedad.
Abierto: 7 días, sin superar vencimiento.</v>
      </c>
      <c r="Z15">
        <f t="shared" si="2"/>
        <v>4</v>
      </c>
      <c r="AA15" t="str">
        <f>IF(OR(A15="",COUNT(B15:C15)&lt;&gt;2),"",IF(OR(WEEKDAY(B15,2)&gt;5,COUNTIF(criterio!$B$25:$E$25,B15)&gt;0),"Cambiar día de elaboración",IF(OR(WEEKDAY(C15,2)&gt;5,COUNTIF(criterio!$B$25:$E$25,C15)&gt;0),"Cambiar día de retiro",IF(SUMIF($B$9:$B$128,B15,$AD$9:$AD$128)&gt;criterio!$D$26,"Más de dos recetas",IF(OR(A15="",NOT(ISNUMBER(B15))),"",IF(OR(NOT(ISNUMBER($Q$2)),NOT(ISNUMBER($Q$3)),$Q$2&lt;=0,$Q$3&lt;=0),"Revisar topes de carga",IF(SUMIFS($Z$9:$Z$128,$B$9:$B$128,B15,$F$9:$F$128,"kg")/$Q$2+SUMIFS($Z$9:$Z$128,$B$9:$B$128,B15,$F$9:$F$128,"L")/$Q$3&gt;1.000001,"Repartir carga del día","")))))))</f>
        <v/>
      </c>
      <c r="AB15" t="str">
        <f>IF(COUNTA(A15:E15,H15:I15,K15:N15)=0,"",IF(R15=0,"Elegir producto",IF(COUNT(B15:E15)&lt;&gt;4,"Completar fechas",IF(E15&lt;D15,"Revisar días de uso",IF(C15+criterio!$B$3&gt;D15,"El retiro llega tarde",IF(AND(N15&lt;&gt;"",OR(NOT(ISNUMBER(N15)),N15&lt;0)),"Revisar cantidad hecha",IF(AND(M15&lt;&gt;"",OR(NOT(ISNUMBER(M15)),M15&lt;0)),"Revisar cant. a adelantar",IF(AND(AND(ISBLANK(H15),L15="Adelanto"),NOT(ISNUMBER(AM15))),"Cargar cant. a adelantar",IF(AND(AND(ISBLANK(H15),L15="Adelanto"),I15&lt;&gt;"",OR(NOT(ISNUMBER(I15)),I15&lt;&gt;0)),"Revisar stock del adelanto",IF(AND(ISNUMBER(N15),N15&gt;0,L15&lt;&gt;"Sí",L15&lt;&gt;"Adelanto",N(M15)&lt;=0),"Hecho sin liberar",IF(AND(ISBLANK(H15),L15&lt;&gt;"Adelanto",OR(I15&lt;&gt;"",L15="Sí")),"Falta pedido real",IF(AND(H15&lt;&gt;"",OR(NOT(ISNUMBER(H15)),H15&lt;0)),"Revisar pedido",IF(AND(ISNUMBER(H15),H15=0,N(M15)&gt;0,N(N15)&gt;0,N(I15)=0),"Reasignar sobrante",IF(AND(ISNUMBER(H15),H15=0,OR(N15&gt;0,I15&gt;0)),"Revisar pedido y cantidades",IF(AND(ISNUMBER(H15),H15=0),"Sin pedido",IF(AND(ISNUMBER(H15),ISBLANK(I15)),"Falta anotar stock",IF(AND(I15&lt;&gt;"",OR(NOT(ISNUMBER(I15)),I15&lt;0,AND(ISNUMBER(H15),I15&gt;H15))),"Revisar stock asignado",IF(AND(ISNUMBER(I15),I15&gt;0,NOT(ISNUMBER(K15))),"Falta vencimiento de stock",IF(AND(ISNUMBER(I15),I15&gt;0,K15&lt;E15+criterio!$B$4),"El stock no cubre el uso",IF(AND(ISNUMBER(H15),ISNUMBER(I15),H15=I15,OR(N15="",N15=0)),"Cubierto con stock",IF(B15=criterio!$B$25,"Jornada bloqueada",IF(B15+S15&gt;C15,"No llega al retiro",IF(Q15&lt;E15,"Vence antes del último uso",IF(Q15&lt;E15+criterio!$B$4,"Falta margen de vida útil",IF(AND(ISBLANK(H15),L15&lt;&gt;"Adelanto",N(N15)&gt;0,N(M15)&gt;0),"Adelanto en pausa",IF(NOT(ISNUMBER(AM15)),"Previsión",IF(AND(ISNUMBER(H15),N(M15)&gt;0,N(N15)&gt;ROUND(H15-N(I15),3)),"Reasignar sobrante",IF(AND(ISNUMBER(N15),N15&gt;ROUND(AM15-N(I15),3)),"Revisar excedente",IF(AND(ISNUMBER(H15),L15&lt;&gt;"Sí",NOT(AND(N(M15)&gt;0,J15=0))),"Por confirmar",IF(J15=0,"Hecho",IF(AND(ISNUMBER(N15),N15&gt;0),"Completar","Preparar")))))))))))))))))))))))))))))))</f>
        <v>Previsión</v>
      </c>
      <c r="AC15">
        <f t="shared" si="3"/>
        <v>0</v>
      </c>
      <c r="AD15">
        <f>IF(OR(NOT(ISNUMBER(B15)),A15="",NOT(ISNUMBER(Z15)),Z15&lt;=0),0,IF(COUNTIFS($A$9:A15,A15,$B$9:B15,B15,$Z$9:Z15,"&gt;0")=1,1,0))</f>
        <v>0</v>
      </c>
      <c r="AE15">
        <f t="shared" si="4"/>
        <v>0</v>
      </c>
      <c r="AF15">
        <f t="shared" si="5"/>
        <v>0</v>
      </c>
      <c r="AG15" t="str">
        <f>IF(OR(AF15=0,AK15&lt;=0),"",IF(A15="Tsue","Retiro: ","Tanda: ")&amp;ROUND(AE15,3)&amp;" "&amp;F15&amp;". Acordar "&amp;INT(AE15/AK15)&amp;" o "&amp;ROUNDUP(AE15/AK15,0)&amp;IF(A15="Tsue"," envases de 5 L."," porciones de 500 g."))</f>
        <v/>
      </c>
      <c r="AH15">
        <f>IF(COUNTA(A15:E15,H15:I15,K15:L15,N15)=0,0,IF(OR(NOT(ISNUMBER(B15)),B15&lt;'Por semana'!$C$45,B15&gt;'Por semana'!$J$46+6),1,0))</f>
        <v>0</v>
      </c>
      <c r="AI15">
        <f t="shared" si="7"/>
        <v>4</v>
      </c>
      <c r="AJ15">
        <f t="shared" si="8"/>
        <v>1</v>
      </c>
      <c r="AK15">
        <f>IF(R15=0,0,IFERROR(INDEX(criterio!$J$11:$J$22,R15)+0,0))</f>
        <v>0</v>
      </c>
      <c r="AL15" t="str">
        <f t="shared" si="9"/>
        <v>Previsión</v>
      </c>
      <c r="AM15" t="str">
        <f t="shared" si="10"/>
        <v/>
      </c>
    </row>
    <row r="16" spans="1:39" ht="31" customHeight="1">
      <c r="A16" s="5" t="s">
        <v>42</v>
      </c>
      <c r="B16" s="19">
        <v>46344</v>
      </c>
      <c r="C16" s="19">
        <v>46386</v>
      </c>
      <c r="D16" s="19">
        <v>46388</v>
      </c>
      <c r="E16" s="19">
        <v>46402</v>
      </c>
      <c r="F16" s="4" t="str">
        <f>IF(R16=0,"",INDEX(criterio!$B$11:$B$22,R16))</f>
        <v>kg</v>
      </c>
      <c r="G16" s="23">
        <f>IFERROR(IF(INDEX(criterio!$B$31:$B$111,MATCH(W16,criterio!$A$31:$A$111,0))=A16,INDEX(criterio!$C$31:$C$111,MATCH(W16,criterio!$A$31:$A$111,0)),""),"")</f>
        <v>7</v>
      </c>
      <c r="H16" s="25"/>
      <c r="I16" s="25"/>
      <c r="J16" s="27" t="str">
        <f t="shared" si="11"/>
        <v/>
      </c>
      <c r="K16" s="20"/>
      <c r="L16" s="21"/>
      <c r="M16" s="25"/>
      <c r="N16" s="25"/>
      <c r="O16" s="6" t="str">
        <f t="shared" si="0"/>
        <v>Previsión</v>
      </c>
      <c r="P16" s="6" t="str">
        <f>IFERROR(IF(AND(INDEX(criterio!$I$31:$I$111,MATCH(W16,criterio!$A$31:$A$111,0))=1,INDEX(criterio!$B$31:$B$111,MATCH(W16,criterio!$A$31:$A$111,0))=A16,ISNUMBER(B16),B16&gt;=criterio!$B$5,D16&lt;=criterio!$B$6,E16&gt;=criterio!$B$5),"Fuera de la previa del 20/12",""),"")</f>
        <v/>
      </c>
      <c r="Q16" s="22">
        <f t="shared" si="1"/>
        <v>46404</v>
      </c>
      <c r="R16">
        <f>IFERROR(MATCH(A16,criterio!$A$11:$A$22,0),0)</f>
        <v>4</v>
      </c>
      <c r="S16">
        <f>IF(R16=0,"",INDEX(criterio!$E$11:$E$22,R16))</f>
        <v>0</v>
      </c>
      <c r="T16">
        <f>IF(R16=0,"",INDEX(criterio!$C$11:$C$22,R16))</f>
        <v>60</v>
      </c>
      <c r="U16" t="str">
        <f>IF(R16=0,"",INDEX(criterio!$D$11:$D$22,R16))</f>
        <v>días</v>
      </c>
      <c r="V16">
        <f>IF(AND(ISNUMBER(B16),B16=Turno!$B$3,OR(AL16="Preparar",AL16="Completar")),MAX($V$8:V15)+1,0)</f>
        <v>0</v>
      </c>
      <c r="W16" t="s">
        <v>45</v>
      </c>
      <c r="Y16" t="str">
        <f>IF(R16=0,"",INDEX(criterio!$I$11:$I$22,R16))</f>
        <v>Seco, cerrado y sin humedad.
Abierto: 7 días, sin superar vencimiento.</v>
      </c>
      <c r="Z16">
        <f t="shared" si="2"/>
        <v>7</v>
      </c>
      <c r="AA16" t="str">
        <f>IF(OR(A16="",COUNT(B16:C16)&lt;&gt;2),"",IF(OR(WEEKDAY(B16,2)&gt;5,COUNTIF(criterio!$B$25:$E$25,B16)&gt;0),"Cambiar día de elaboración",IF(OR(WEEKDAY(C16,2)&gt;5,COUNTIF(criterio!$B$25:$E$25,C16)&gt;0),"Cambiar día de retiro",IF(SUMIF($B$9:$B$128,B16,$AD$9:$AD$128)&gt;criterio!$D$26,"Más de dos recetas",IF(OR(A16="",NOT(ISNUMBER(B16))),"",IF(OR(NOT(ISNUMBER($Q$2)),NOT(ISNUMBER($Q$3)),$Q$2&lt;=0,$Q$3&lt;=0),"Revisar topes de carga",IF(SUMIFS($Z$9:$Z$128,$B$9:$B$128,B16,$F$9:$F$128,"kg")/$Q$2+SUMIFS($Z$9:$Z$128,$B$9:$B$128,B16,$F$9:$F$128,"L")/$Q$3&gt;1.000001,"Repartir carga del día","")))))))</f>
        <v/>
      </c>
      <c r="AB16" t="str">
        <f>IF(COUNTA(A16:E16,H16:I16,K16:N16)=0,"",IF(R16=0,"Elegir producto",IF(COUNT(B16:E16)&lt;&gt;4,"Completar fechas",IF(E16&lt;D16,"Revisar días de uso",IF(C16+criterio!$B$3&gt;D16,"El retiro llega tarde",IF(AND(N16&lt;&gt;"",OR(NOT(ISNUMBER(N16)),N16&lt;0)),"Revisar cantidad hecha",IF(AND(M16&lt;&gt;"",OR(NOT(ISNUMBER(M16)),M16&lt;0)),"Revisar cant. a adelantar",IF(AND(AND(ISBLANK(H16),L16="Adelanto"),NOT(ISNUMBER(AM16))),"Cargar cant. a adelantar",IF(AND(AND(ISBLANK(H16),L16="Adelanto"),I16&lt;&gt;"",OR(NOT(ISNUMBER(I16)),I16&lt;&gt;0)),"Revisar stock del adelanto",IF(AND(ISNUMBER(N16),N16&gt;0,L16&lt;&gt;"Sí",L16&lt;&gt;"Adelanto",N(M16)&lt;=0),"Hecho sin liberar",IF(AND(ISBLANK(H16),L16&lt;&gt;"Adelanto",OR(I16&lt;&gt;"",L16="Sí")),"Falta pedido real",IF(AND(H16&lt;&gt;"",OR(NOT(ISNUMBER(H16)),H16&lt;0)),"Revisar pedido",IF(AND(ISNUMBER(H16),H16=0,N(M16)&gt;0,N(N16)&gt;0,N(I16)=0),"Reasignar sobrante",IF(AND(ISNUMBER(H16),H16=0,OR(N16&gt;0,I16&gt;0)),"Revisar pedido y cantidades",IF(AND(ISNUMBER(H16),H16=0),"Sin pedido",IF(AND(ISNUMBER(H16),ISBLANK(I16)),"Falta anotar stock",IF(AND(I16&lt;&gt;"",OR(NOT(ISNUMBER(I16)),I16&lt;0,AND(ISNUMBER(H16),I16&gt;H16))),"Revisar stock asignado",IF(AND(ISNUMBER(I16),I16&gt;0,NOT(ISNUMBER(K16))),"Falta vencimiento de stock",IF(AND(ISNUMBER(I16),I16&gt;0,K16&lt;E16+criterio!$B$4),"El stock no cubre el uso",IF(AND(ISNUMBER(H16),ISNUMBER(I16),H16=I16,OR(N16="",N16=0)),"Cubierto con stock",IF(B16=criterio!$B$25,"Jornada bloqueada",IF(B16+S16&gt;C16,"No llega al retiro",IF(Q16&lt;E16,"Vence antes del último uso",IF(Q16&lt;E16+criterio!$B$4,"Falta margen de vida útil",IF(AND(ISBLANK(H16),L16&lt;&gt;"Adelanto",N(N16)&gt;0,N(M16)&gt;0),"Adelanto en pausa",IF(NOT(ISNUMBER(AM16)),"Previsión",IF(AND(ISNUMBER(H16),N(M16)&gt;0,N(N16)&gt;ROUND(H16-N(I16),3)),"Reasignar sobrante",IF(AND(ISNUMBER(N16),N16&gt;ROUND(AM16-N(I16),3)),"Revisar excedente",IF(AND(ISNUMBER(H16),L16&lt;&gt;"Sí",NOT(AND(N(M16)&gt;0,J16=0))),"Por confirmar",IF(J16=0,"Hecho",IF(AND(ISNUMBER(N16),N16&gt;0),"Completar","Preparar")))))))))))))))))))))))))))))))</f>
        <v>Previsión</v>
      </c>
      <c r="AC16">
        <f t="shared" si="3"/>
        <v>0</v>
      </c>
      <c r="AD16">
        <f>IF(OR(NOT(ISNUMBER(B16)),A16="",NOT(ISNUMBER(Z16)),Z16&lt;=0),0,IF(COUNTIFS($A$9:A16,A16,$B$9:B16,B16,$Z$9:Z16,"&gt;0")=1,1,0))</f>
        <v>0</v>
      </c>
      <c r="AE16">
        <f t="shared" si="4"/>
        <v>0</v>
      </c>
      <c r="AF16">
        <f t="shared" si="5"/>
        <v>0</v>
      </c>
      <c r="AG16" t="str">
        <f>IF(OR(AF16=0,AK16&lt;=0),"",IF(A16="Tsue","Retiro: ","Tanda: ")&amp;ROUND(AE16,3)&amp;" "&amp;F16&amp;". Acordar "&amp;INT(AE16/AK16)&amp;" o "&amp;ROUNDUP(AE16/AK16,0)&amp;IF(A16="Tsue"," envases de 5 L."," porciones de 500 g."))</f>
        <v/>
      </c>
      <c r="AH16">
        <f>IF(COUNTA(A16:E16,H16:I16,K16:L16,N16)=0,0,IF(OR(NOT(ISNUMBER(B16)),B16&lt;'Por semana'!$C$45,B16&gt;'Por semana'!$J$46+6),1,0))</f>
        <v>0</v>
      </c>
      <c r="AI16">
        <f t="shared" si="7"/>
        <v>7</v>
      </c>
      <c r="AJ16">
        <f t="shared" si="8"/>
        <v>1</v>
      </c>
      <c r="AK16">
        <f>IF(R16=0,0,IFERROR(INDEX(criterio!$J$11:$J$22,R16)+0,0))</f>
        <v>0</v>
      </c>
      <c r="AL16" t="str">
        <f t="shared" si="9"/>
        <v>Previsión</v>
      </c>
      <c r="AM16" t="str">
        <f t="shared" si="10"/>
        <v/>
      </c>
    </row>
    <row r="17" spans="1:39" ht="31" customHeight="1">
      <c r="A17" s="5" t="s">
        <v>46</v>
      </c>
      <c r="B17" s="19">
        <v>46345</v>
      </c>
      <c r="C17" s="19">
        <v>46356</v>
      </c>
      <c r="D17" s="19">
        <v>46357</v>
      </c>
      <c r="E17" s="19">
        <v>46371</v>
      </c>
      <c r="F17" s="4" t="str">
        <f>IF(R17=0,"",INDEX(criterio!$B$11:$B$22,R17))</f>
        <v>kg</v>
      </c>
      <c r="G17" s="23">
        <f>IFERROR(IF(INDEX(criterio!$B$31:$B$111,MATCH(W17,criterio!$A$31:$A$111,0))=A17,INDEX(criterio!$C$31:$C$111,MATCH(W17,criterio!$A$31:$A$111,0)),""),"")</f>
        <v>3</v>
      </c>
      <c r="H17" s="25"/>
      <c r="I17" s="25"/>
      <c r="J17" s="27" t="str">
        <f t="shared" si="11"/>
        <v/>
      </c>
      <c r="K17" s="20"/>
      <c r="L17" s="21"/>
      <c r="M17" s="25"/>
      <c r="N17" s="25"/>
      <c r="O17" s="6" t="str">
        <f t="shared" si="0"/>
        <v>Previsión</v>
      </c>
      <c r="P17" s="6" t="str">
        <f>IFERROR(IF(AND(INDEX(criterio!$I$31:$I$111,MATCH(W17,criterio!$A$31:$A$111,0))=1,INDEX(criterio!$B$31:$B$111,MATCH(W17,criterio!$A$31:$A$111,0))=A17,ISNUMBER(B17),B17&gt;=criterio!$B$5,D17&lt;=criterio!$B$6,E17&gt;=criterio!$B$5),"Fuera de la previa del 20/12",""),"")</f>
        <v/>
      </c>
      <c r="Q17" s="22">
        <f t="shared" si="1"/>
        <v>46405</v>
      </c>
      <c r="R17">
        <f>IFERROR(MATCH(A17,criterio!$A$11:$A$22,0),0)</f>
        <v>5</v>
      </c>
      <c r="S17">
        <f>IF(R17=0,"",INDEX(criterio!$E$11:$E$22,R17))</f>
        <v>0</v>
      </c>
      <c r="T17">
        <f>IF(R17=0,"",INDEX(criterio!$C$11:$C$22,R17))</f>
        <v>60</v>
      </c>
      <c r="U17" t="str">
        <f>IF(R17=0,"",INDEX(criterio!$D$11:$D$22,R17))</f>
        <v>días</v>
      </c>
      <c r="V17">
        <f>IF(AND(ISNUMBER(B17),B17=Turno!$B$3,OR(AL17="Preparar",AL17="Completar")),MAX($V$8:V16)+1,0)</f>
        <v>0</v>
      </c>
      <c r="W17" t="s">
        <v>47</v>
      </c>
      <c r="Y17" t="str">
        <f>IF(R17=0,"",INDEX(criterio!$I$11:$I$22,R17))</f>
        <v>Seco, cerrado y sin humedad.
Abierto: 7 días, sin superar vencimiento.</v>
      </c>
      <c r="Z17">
        <f t="shared" si="2"/>
        <v>3</v>
      </c>
      <c r="AA17" t="str">
        <f>IF(OR(A17="",COUNT(B17:C17)&lt;&gt;2),"",IF(OR(WEEKDAY(B17,2)&gt;5,COUNTIF(criterio!$B$25:$E$25,B17)&gt;0),"Cambiar día de elaboración",IF(OR(WEEKDAY(C17,2)&gt;5,COUNTIF(criterio!$B$25:$E$25,C17)&gt;0),"Cambiar día de retiro",IF(SUMIF($B$9:$B$128,B17,$AD$9:$AD$128)&gt;criterio!$D$26,"Más de dos recetas",IF(OR(A17="",NOT(ISNUMBER(B17))),"",IF(OR(NOT(ISNUMBER($Q$2)),NOT(ISNUMBER($Q$3)),$Q$2&lt;=0,$Q$3&lt;=0),"Revisar topes de carga",IF(SUMIFS($Z$9:$Z$128,$B$9:$B$128,B17,$F$9:$F$128,"kg")/$Q$2+SUMIFS($Z$9:$Z$128,$B$9:$B$128,B17,$F$9:$F$128,"L")/$Q$3&gt;1.000001,"Repartir carga del día","")))))))</f>
        <v/>
      </c>
      <c r="AB17" t="str">
        <f>IF(COUNTA(A17:E17,H17:I17,K17:N17)=0,"",IF(R17=0,"Elegir producto",IF(COUNT(B17:E17)&lt;&gt;4,"Completar fechas",IF(E17&lt;D17,"Revisar días de uso",IF(C17+criterio!$B$3&gt;D17,"El retiro llega tarde",IF(AND(N17&lt;&gt;"",OR(NOT(ISNUMBER(N17)),N17&lt;0)),"Revisar cantidad hecha",IF(AND(M17&lt;&gt;"",OR(NOT(ISNUMBER(M17)),M17&lt;0)),"Revisar cant. a adelantar",IF(AND(AND(ISBLANK(H17),L17="Adelanto"),NOT(ISNUMBER(AM17))),"Cargar cant. a adelantar",IF(AND(AND(ISBLANK(H17),L17="Adelanto"),I17&lt;&gt;"",OR(NOT(ISNUMBER(I17)),I17&lt;&gt;0)),"Revisar stock del adelanto",IF(AND(ISNUMBER(N17),N17&gt;0,L17&lt;&gt;"Sí",L17&lt;&gt;"Adelanto",N(M17)&lt;=0),"Hecho sin liberar",IF(AND(ISBLANK(H17),L17&lt;&gt;"Adelanto",OR(I17&lt;&gt;"",L17="Sí")),"Falta pedido real",IF(AND(H17&lt;&gt;"",OR(NOT(ISNUMBER(H17)),H17&lt;0)),"Revisar pedido",IF(AND(ISNUMBER(H17),H17=0,N(M17)&gt;0,N(N17)&gt;0,N(I17)=0),"Reasignar sobrante",IF(AND(ISNUMBER(H17),H17=0,OR(N17&gt;0,I17&gt;0)),"Revisar pedido y cantidades",IF(AND(ISNUMBER(H17),H17=0),"Sin pedido",IF(AND(ISNUMBER(H17),ISBLANK(I17)),"Falta anotar stock",IF(AND(I17&lt;&gt;"",OR(NOT(ISNUMBER(I17)),I17&lt;0,AND(ISNUMBER(H17),I17&gt;H17))),"Revisar stock asignado",IF(AND(ISNUMBER(I17),I17&gt;0,NOT(ISNUMBER(K17))),"Falta vencimiento de stock",IF(AND(ISNUMBER(I17),I17&gt;0,K17&lt;E17+criterio!$B$4),"El stock no cubre el uso",IF(AND(ISNUMBER(H17),ISNUMBER(I17),H17=I17,OR(N17="",N17=0)),"Cubierto con stock",IF(B17=criterio!$B$25,"Jornada bloqueada",IF(B17+S17&gt;C17,"No llega al retiro",IF(Q17&lt;E17,"Vence antes del último uso",IF(Q17&lt;E17+criterio!$B$4,"Falta margen de vida útil",IF(AND(ISBLANK(H17),L17&lt;&gt;"Adelanto",N(N17)&gt;0,N(M17)&gt;0),"Adelanto en pausa",IF(NOT(ISNUMBER(AM17)),"Previsión",IF(AND(ISNUMBER(H17),N(M17)&gt;0,N(N17)&gt;ROUND(H17-N(I17),3)),"Reasignar sobrante",IF(AND(ISNUMBER(N17),N17&gt;ROUND(AM17-N(I17),3)),"Revisar excedente",IF(AND(ISNUMBER(H17),L17&lt;&gt;"Sí",NOT(AND(N(M17)&gt;0,J17=0))),"Por confirmar",IF(J17=0,"Hecho",IF(AND(ISNUMBER(N17),N17&gt;0),"Completar","Preparar")))))))))))))))))))))))))))))))</f>
        <v>Previsión</v>
      </c>
      <c r="AC17">
        <f t="shared" si="3"/>
        <v>0</v>
      </c>
      <c r="AD17">
        <f>IF(OR(NOT(ISNUMBER(B17)),A17="",NOT(ISNUMBER(Z17)),Z17&lt;=0),0,IF(COUNTIFS($A$9:A17,A17,$B$9:B17,B17,$Z$9:Z17,"&gt;0")=1,1,0))</f>
        <v>1</v>
      </c>
      <c r="AE17">
        <f t="shared" si="4"/>
        <v>0</v>
      </c>
      <c r="AF17">
        <f t="shared" si="5"/>
        <v>0</v>
      </c>
      <c r="AG17" t="str">
        <f>IF(OR(AF17=0,AK17&lt;=0),"",IF(A17="Tsue","Retiro: ","Tanda: ")&amp;ROUND(AE17,3)&amp;" "&amp;F17&amp;". Acordar "&amp;INT(AE17/AK17)&amp;" o "&amp;ROUNDUP(AE17/AK17,0)&amp;IF(A17="Tsue"," envases de 5 L."," porciones de 500 g."))</f>
        <v/>
      </c>
      <c r="AH17">
        <f>IF(COUNTA(A17:E17,H17:I17,K17:L17,N17)=0,0,IF(OR(NOT(ISNUMBER(B17)),B17&lt;'Por semana'!$C$45,B17&gt;'Por semana'!$J$46+6),1,0))</f>
        <v>0</v>
      </c>
      <c r="AI17">
        <f t="shared" si="7"/>
        <v>3</v>
      </c>
      <c r="AJ17">
        <f t="shared" si="8"/>
        <v>1</v>
      </c>
      <c r="AK17">
        <f>IF(R17=0,0,IFERROR(INDEX(criterio!$J$11:$J$22,R17)+0,0))</f>
        <v>0</v>
      </c>
      <c r="AL17" t="str">
        <f t="shared" si="9"/>
        <v>Previsión</v>
      </c>
      <c r="AM17" t="str">
        <f t="shared" si="10"/>
        <v/>
      </c>
    </row>
    <row r="18" spans="1:39" ht="31" customHeight="1">
      <c r="A18" s="5" t="s">
        <v>46</v>
      </c>
      <c r="B18" s="19">
        <v>46345</v>
      </c>
      <c r="C18" s="19">
        <v>46386</v>
      </c>
      <c r="D18" s="19">
        <v>46388</v>
      </c>
      <c r="E18" s="19">
        <v>46402</v>
      </c>
      <c r="F18" s="4" t="str">
        <f>IF(R18=0,"",INDEX(criterio!$B$11:$B$22,R18))</f>
        <v>kg</v>
      </c>
      <c r="G18" s="23">
        <f>IFERROR(IF(INDEX(criterio!$B$31:$B$111,MATCH(W18,criterio!$A$31:$A$111,0))=A18,INDEX(criterio!$C$31:$C$111,MATCH(W18,criterio!$A$31:$A$111,0)),""),"")</f>
        <v>4</v>
      </c>
      <c r="H18" s="25"/>
      <c r="I18" s="25"/>
      <c r="J18" s="27" t="str">
        <f t="shared" si="11"/>
        <v/>
      </c>
      <c r="K18" s="20"/>
      <c r="L18" s="21"/>
      <c r="M18" s="25"/>
      <c r="N18" s="25"/>
      <c r="O18" s="6" t="str">
        <f t="shared" si="0"/>
        <v>Previsión</v>
      </c>
      <c r="P18" s="6" t="str">
        <f>IFERROR(IF(AND(INDEX(criterio!$I$31:$I$111,MATCH(W18,criterio!$A$31:$A$111,0))=1,INDEX(criterio!$B$31:$B$111,MATCH(W18,criterio!$A$31:$A$111,0))=A18,ISNUMBER(B18),B18&gt;=criterio!$B$5,D18&lt;=criterio!$B$6,E18&gt;=criterio!$B$5),"Fuera de la previa del 20/12",""),"")</f>
        <v/>
      </c>
      <c r="Q18" s="22">
        <f t="shared" si="1"/>
        <v>46405</v>
      </c>
      <c r="R18">
        <f>IFERROR(MATCH(A18,criterio!$A$11:$A$22,0),0)</f>
        <v>5</v>
      </c>
      <c r="S18">
        <f>IF(R18=0,"",INDEX(criterio!$E$11:$E$22,R18))</f>
        <v>0</v>
      </c>
      <c r="T18">
        <f>IF(R18=0,"",INDEX(criterio!$C$11:$C$22,R18))</f>
        <v>60</v>
      </c>
      <c r="U18" t="str">
        <f>IF(R18=0,"",INDEX(criterio!$D$11:$D$22,R18))</f>
        <v>días</v>
      </c>
      <c r="V18">
        <f>IF(AND(ISNUMBER(B18),B18=Turno!$B$3,OR(AL18="Preparar",AL18="Completar")),MAX($V$8:V17)+1,0)</f>
        <v>0</v>
      </c>
      <c r="W18" t="s">
        <v>48</v>
      </c>
      <c r="Y18" t="str">
        <f>IF(R18=0,"",INDEX(criterio!$I$11:$I$22,R18))</f>
        <v>Seco, cerrado y sin humedad.
Abierto: 7 días, sin superar vencimiento.</v>
      </c>
      <c r="Z18">
        <f t="shared" si="2"/>
        <v>4</v>
      </c>
      <c r="AA18" t="str">
        <f>IF(OR(A18="",COUNT(B18:C18)&lt;&gt;2),"",IF(OR(WEEKDAY(B18,2)&gt;5,COUNTIF(criterio!$B$25:$E$25,B18)&gt;0),"Cambiar día de elaboración",IF(OR(WEEKDAY(C18,2)&gt;5,COUNTIF(criterio!$B$25:$E$25,C18)&gt;0),"Cambiar día de retiro",IF(SUMIF($B$9:$B$128,B18,$AD$9:$AD$128)&gt;criterio!$D$26,"Más de dos recetas",IF(OR(A18="",NOT(ISNUMBER(B18))),"",IF(OR(NOT(ISNUMBER($Q$2)),NOT(ISNUMBER($Q$3)),$Q$2&lt;=0,$Q$3&lt;=0),"Revisar topes de carga",IF(SUMIFS($Z$9:$Z$128,$B$9:$B$128,B18,$F$9:$F$128,"kg")/$Q$2+SUMIFS($Z$9:$Z$128,$B$9:$B$128,B18,$F$9:$F$128,"L")/$Q$3&gt;1.000001,"Repartir carga del día","")))))))</f>
        <v/>
      </c>
      <c r="AB18" t="str">
        <f>IF(COUNTA(A18:E18,H18:I18,K18:N18)=0,"",IF(R18=0,"Elegir producto",IF(COUNT(B18:E18)&lt;&gt;4,"Completar fechas",IF(E18&lt;D18,"Revisar días de uso",IF(C18+criterio!$B$3&gt;D18,"El retiro llega tarde",IF(AND(N18&lt;&gt;"",OR(NOT(ISNUMBER(N18)),N18&lt;0)),"Revisar cantidad hecha",IF(AND(M18&lt;&gt;"",OR(NOT(ISNUMBER(M18)),M18&lt;0)),"Revisar cant. a adelantar",IF(AND(AND(ISBLANK(H18),L18="Adelanto"),NOT(ISNUMBER(AM18))),"Cargar cant. a adelantar",IF(AND(AND(ISBLANK(H18),L18="Adelanto"),I18&lt;&gt;"",OR(NOT(ISNUMBER(I18)),I18&lt;&gt;0)),"Revisar stock del adelanto",IF(AND(ISNUMBER(N18),N18&gt;0,L18&lt;&gt;"Sí",L18&lt;&gt;"Adelanto",N(M18)&lt;=0),"Hecho sin liberar",IF(AND(ISBLANK(H18),L18&lt;&gt;"Adelanto",OR(I18&lt;&gt;"",L18="Sí")),"Falta pedido real",IF(AND(H18&lt;&gt;"",OR(NOT(ISNUMBER(H18)),H18&lt;0)),"Revisar pedido",IF(AND(ISNUMBER(H18),H18=0,N(M18)&gt;0,N(N18)&gt;0,N(I18)=0),"Reasignar sobrante",IF(AND(ISNUMBER(H18),H18=0,OR(N18&gt;0,I18&gt;0)),"Revisar pedido y cantidades",IF(AND(ISNUMBER(H18),H18=0),"Sin pedido",IF(AND(ISNUMBER(H18),ISBLANK(I18)),"Falta anotar stock",IF(AND(I18&lt;&gt;"",OR(NOT(ISNUMBER(I18)),I18&lt;0,AND(ISNUMBER(H18),I18&gt;H18))),"Revisar stock asignado",IF(AND(ISNUMBER(I18),I18&gt;0,NOT(ISNUMBER(K18))),"Falta vencimiento de stock",IF(AND(ISNUMBER(I18),I18&gt;0,K18&lt;E18+criterio!$B$4),"El stock no cubre el uso",IF(AND(ISNUMBER(H18),ISNUMBER(I18),H18=I18,OR(N18="",N18=0)),"Cubierto con stock",IF(B18=criterio!$B$25,"Jornada bloqueada",IF(B18+S18&gt;C18,"No llega al retiro",IF(Q18&lt;E18,"Vence antes del último uso",IF(Q18&lt;E18+criterio!$B$4,"Falta margen de vida útil",IF(AND(ISBLANK(H18),L18&lt;&gt;"Adelanto",N(N18)&gt;0,N(M18)&gt;0),"Adelanto en pausa",IF(NOT(ISNUMBER(AM18)),"Previsión",IF(AND(ISNUMBER(H18),N(M18)&gt;0,N(N18)&gt;ROUND(H18-N(I18),3)),"Reasignar sobrante",IF(AND(ISNUMBER(N18),N18&gt;ROUND(AM18-N(I18),3)),"Revisar excedente",IF(AND(ISNUMBER(H18),L18&lt;&gt;"Sí",NOT(AND(N(M18)&gt;0,J18=0))),"Por confirmar",IF(J18=0,"Hecho",IF(AND(ISNUMBER(N18),N18&gt;0),"Completar","Preparar")))))))))))))))))))))))))))))))</f>
        <v>Previsión</v>
      </c>
      <c r="AC18">
        <f t="shared" si="3"/>
        <v>0</v>
      </c>
      <c r="AD18">
        <f>IF(OR(NOT(ISNUMBER(B18)),A18="",NOT(ISNUMBER(Z18)),Z18&lt;=0),0,IF(COUNTIFS($A$9:A18,A18,$B$9:B18,B18,$Z$9:Z18,"&gt;0")=1,1,0))</f>
        <v>0</v>
      </c>
      <c r="AE18">
        <f t="shared" si="4"/>
        <v>0</v>
      </c>
      <c r="AF18">
        <f t="shared" si="5"/>
        <v>0</v>
      </c>
      <c r="AG18" t="str">
        <f>IF(OR(AF18=0,AK18&lt;=0),"",IF(A18="Tsue","Retiro: ","Tanda: ")&amp;ROUND(AE18,3)&amp;" "&amp;F18&amp;". Acordar "&amp;INT(AE18/AK18)&amp;" o "&amp;ROUNDUP(AE18/AK18,0)&amp;IF(A18="Tsue"," envases de 5 L."," porciones de 500 g."))</f>
        <v/>
      </c>
      <c r="AH18">
        <f>IF(COUNTA(A18:E18,H18:I18,K18:L18,N18)=0,0,IF(OR(NOT(ISNUMBER(B18)),B18&lt;'Por semana'!$C$45,B18&gt;'Por semana'!$J$46+6),1,0))</f>
        <v>0</v>
      </c>
      <c r="AI18">
        <f t="shared" si="7"/>
        <v>4</v>
      </c>
      <c r="AJ18">
        <f t="shared" si="8"/>
        <v>1</v>
      </c>
      <c r="AK18">
        <f>IF(R18=0,0,IFERROR(INDEX(criterio!$J$11:$J$22,R18)+0,0))</f>
        <v>0</v>
      </c>
      <c r="AL18" t="str">
        <f t="shared" si="9"/>
        <v>Previsión</v>
      </c>
      <c r="AM18" t="str">
        <f t="shared" si="10"/>
        <v/>
      </c>
    </row>
    <row r="19" spans="1:39" ht="31" customHeight="1">
      <c r="A19" s="5" t="s">
        <v>49</v>
      </c>
      <c r="B19" s="19">
        <v>46345</v>
      </c>
      <c r="C19" s="19">
        <v>46356</v>
      </c>
      <c r="D19" s="19">
        <v>46357</v>
      </c>
      <c r="E19" s="19">
        <v>46371</v>
      </c>
      <c r="F19" s="4" t="str">
        <f>IF(R19=0,"",INDEX(criterio!$B$11:$B$22,R19))</f>
        <v>L</v>
      </c>
      <c r="G19" s="24">
        <f>IFERROR(IF(INDEX(criterio!$B$31:$B$111,MATCH(W19,criterio!$A$31:$A$111,0))=A19,INDEX(criterio!$C$31:$C$111,MATCH(W19,criterio!$A$31:$A$111,0)),""),"")</f>
        <v>10</v>
      </c>
      <c r="H19" s="26"/>
      <c r="I19" s="26"/>
      <c r="J19" s="28" t="str">
        <f t="shared" si="11"/>
        <v/>
      </c>
      <c r="K19" s="20"/>
      <c r="L19" s="21"/>
      <c r="M19" s="26"/>
      <c r="N19" s="26"/>
      <c r="O19" s="6" t="str">
        <f t="shared" si="0"/>
        <v>Previsión</v>
      </c>
      <c r="P19" s="6" t="str">
        <f>IFERROR(IF(AND(INDEX(criterio!$I$31:$I$111,MATCH(W19,criterio!$A$31:$A$111,0))=1,INDEX(criterio!$B$31:$B$111,MATCH(W19,criterio!$A$31:$A$111,0))=A19,ISNUMBER(B19),B19&gt;=criterio!$B$5,D19&lt;=criterio!$B$6,E19&gt;=criterio!$B$5),"Fuera de la previa del 20/12",""),"")</f>
        <v/>
      </c>
      <c r="Q19" s="22">
        <f t="shared" si="1"/>
        <v>46375</v>
      </c>
      <c r="R19">
        <f>IFERROR(MATCH(A19,criterio!$A$11:$A$22,0),0)</f>
        <v>9</v>
      </c>
      <c r="S19">
        <f>IF(R19=0,"",INDEX(criterio!$E$11:$E$22,R19))</f>
        <v>0</v>
      </c>
      <c r="T19">
        <f>IF(R19=0,"",INDEX(criterio!$C$11:$C$22,R19))</f>
        <v>1</v>
      </c>
      <c r="U19" t="str">
        <f>IF(R19=0,"",INDEX(criterio!$D$11:$D$22,R19))</f>
        <v>mes</v>
      </c>
      <c r="V19">
        <f>IF(AND(ISNUMBER(B19),B19=Turno!$B$3,OR(AL19="Preparar",AL19="Completar")),MAX($V$8:V18)+1,0)</f>
        <v>0</v>
      </c>
      <c r="W19" t="s">
        <v>50</v>
      </c>
      <c r="Y19" t="str">
        <f>IF(R19=0,"",INDEX(criterio!$I$11:$I$22,R19))</f>
        <v>Temperatura ambiente.</v>
      </c>
      <c r="Z19">
        <f t="shared" si="2"/>
        <v>10</v>
      </c>
      <c r="AA19" t="str">
        <f>IF(OR(A19="",COUNT(B19:C19)&lt;&gt;2),"",IF(OR(WEEKDAY(B19,2)&gt;5,COUNTIF(criterio!$B$25:$E$25,B19)&gt;0),"Cambiar día de elaboración",IF(OR(WEEKDAY(C19,2)&gt;5,COUNTIF(criterio!$B$25:$E$25,C19)&gt;0),"Cambiar día de retiro",IF(SUMIF($B$9:$B$128,B19,$AD$9:$AD$128)&gt;criterio!$D$26,"Más de dos recetas",IF(OR(A19="",NOT(ISNUMBER(B19))),"",IF(OR(NOT(ISNUMBER($Q$2)),NOT(ISNUMBER($Q$3)),$Q$2&lt;=0,$Q$3&lt;=0),"Revisar topes de carga",IF(SUMIFS($Z$9:$Z$128,$B$9:$B$128,B19,$F$9:$F$128,"kg")/$Q$2+SUMIFS($Z$9:$Z$128,$B$9:$B$128,B19,$F$9:$F$128,"L")/$Q$3&gt;1.000001,"Repartir carga del día","")))))))</f>
        <v/>
      </c>
      <c r="AB19" t="str">
        <f>IF(COUNTA(A19:E19,H19:I19,K19:N19)=0,"",IF(R19=0,"Elegir producto",IF(COUNT(B19:E19)&lt;&gt;4,"Completar fechas",IF(E19&lt;D19,"Revisar días de uso",IF(C19+criterio!$B$3&gt;D19,"El retiro llega tarde",IF(AND(N19&lt;&gt;"",OR(NOT(ISNUMBER(N19)),N19&lt;0)),"Revisar cantidad hecha",IF(AND(M19&lt;&gt;"",OR(NOT(ISNUMBER(M19)),M19&lt;0)),"Revisar cant. a adelantar",IF(AND(AND(ISBLANK(H19),L19="Adelanto"),NOT(ISNUMBER(AM19))),"Cargar cant. a adelantar",IF(AND(AND(ISBLANK(H19),L19="Adelanto"),I19&lt;&gt;"",OR(NOT(ISNUMBER(I19)),I19&lt;&gt;0)),"Revisar stock del adelanto",IF(AND(ISNUMBER(N19),N19&gt;0,L19&lt;&gt;"Sí",L19&lt;&gt;"Adelanto",N(M19)&lt;=0),"Hecho sin liberar",IF(AND(ISBLANK(H19),L19&lt;&gt;"Adelanto",OR(I19&lt;&gt;"",L19="Sí")),"Falta pedido real",IF(AND(H19&lt;&gt;"",OR(NOT(ISNUMBER(H19)),H19&lt;0)),"Revisar pedido",IF(AND(ISNUMBER(H19),H19=0,N(M19)&gt;0,N(N19)&gt;0,N(I19)=0),"Reasignar sobrante",IF(AND(ISNUMBER(H19),H19=0,OR(N19&gt;0,I19&gt;0)),"Revisar pedido y cantidades",IF(AND(ISNUMBER(H19),H19=0),"Sin pedido",IF(AND(ISNUMBER(H19),ISBLANK(I19)),"Falta anotar stock",IF(AND(I19&lt;&gt;"",OR(NOT(ISNUMBER(I19)),I19&lt;0,AND(ISNUMBER(H19),I19&gt;H19))),"Revisar stock asignado",IF(AND(ISNUMBER(I19),I19&gt;0,NOT(ISNUMBER(K19))),"Falta vencimiento de stock",IF(AND(ISNUMBER(I19),I19&gt;0,K19&lt;E19+criterio!$B$4),"El stock no cubre el uso",IF(AND(ISNUMBER(H19),ISNUMBER(I19),H19=I19,OR(N19="",N19=0)),"Cubierto con stock",IF(B19=criterio!$B$25,"Jornada bloqueada",IF(B19+S19&gt;C19,"No llega al retiro",IF(Q19&lt;E19,"Vence antes del último uso",IF(Q19&lt;E19+criterio!$B$4,"Falta margen de vida útil",IF(AND(ISBLANK(H19),L19&lt;&gt;"Adelanto",N(N19)&gt;0,N(M19)&gt;0),"Adelanto en pausa",IF(NOT(ISNUMBER(AM19)),"Previsión",IF(AND(ISNUMBER(H19),N(M19)&gt;0,N(N19)&gt;ROUND(H19-N(I19),3)),"Reasignar sobrante",IF(AND(ISNUMBER(N19),N19&gt;ROUND(AM19-N(I19),3)),"Revisar excedente",IF(AND(ISNUMBER(H19),L19&lt;&gt;"Sí",NOT(AND(N(M19)&gt;0,J19=0))),"Por confirmar",IF(J19=0,"Hecho",IF(AND(ISNUMBER(N19),N19&gt;0),"Completar","Preparar")))))))))))))))))))))))))))))))</f>
        <v>Previsión</v>
      </c>
      <c r="AC19">
        <f t="shared" si="3"/>
        <v>0</v>
      </c>
      <c r="AD19">
        <f>IF(OR(NOT(ISNUMBER(B19)),A19="",NOT(ISNUMBER(Z19)),Z19&lt;=0),0,IF(COUNTIFS($A$9:A19,A19,$B$9:B19,B19,$Z$9:Z19,"&gt;0")=1,1,0))</f>
        <v>1</v>
      </c>
      <c r="AE19">
        <f t="shared" si="4"/>
        <v>0</v>
      </c>
      <c r="AF19">
        <f t="shared" si="5"/>
        <v>0</v>
      </c>
      <c r="AG19" t="str">
        <f>IF(OR(AF19=0,AK19&lt;=0),"",IF(A19="Tsue","Retiro: ","Tanda: ")&amp;ROUND(AE19,3)&amp;" "&amp;F19&amp;". Acordar "&amp;INT(AE19/AK19)&amp;" o "&amp;ROUNDUP(AE19/AK19,0)&amp;IF(A19="Tsue"," envases de 5 L."," porciones de 500 g."))</f>
        <v/>
      </c>
      <c r="AH19">
        <f>IF(COUNTA(A19:E19,H19:I19,K19:L19,N19)=0,0,IF(OR(NOT(ISNUMBER(B19)),B19&lt;'Por semana'!$C$45,B19&gt;'Por semana'!$J$46+6),1,0))</f>
        <v>0</v>
      </c>
      <c r="AI19">
        <f t="shared" si="7"/>
        <v>10</v>
      </c>
      <c r="AJ19">
        <f t="shared" si="8"/>
        <v>1</v>
      </c>
      <c r="AK19">
        <f>IF(R19=0,0,IFERROR(INDEX(criterio!$J$11:$J$22,R19)+0,0))</f>
        <v>0</v>
      </c>
      <c r="AL19" t="str">
        <f t="shared" si="9"/>
        <v>Previsión</v>
      </c>
      <c r="AM19" t="str">
        <f t="shared" si="10"/>
        <v/>
      </c>
    </row>
    <row r="20" spans="1:39" ht="31" customHeight="1">
      <c r="A20" s="5" t="s">
        <v>51</v>
      </c>
      <c r="B20" s="19">
        <v>46346</v>
      </c>
      <c r="C20" s="19">
        <v>46356</v>
      </c>
      <c r="D20" s="19">
        <v>46357</v>
      </c>
      <c r="E20" s="19">
        <v>46371</v>
      </c>
      <c r="F20" s="4" t="str">
        <f>IF(R20=0,"",INDEX(criterio!$B$11:$B$22,R20))</f>
        <v>L</v>
      </c>
      <c r="G20" s="24">
        <f>IFERROR(IF(INDEX(criterio!$B$31:$B$111,MATCH(W20,criterio!$A$31:$A$111,0))=A20,INDEX(criterio!$C$31:$C$111,MATCH(W20,criterio!$A$31:$A$111,0)),""),"")</f>
        <v>5</v>
      </c>
      <c r="H20" s="26"/>
      <c r="I20" s="26"/>
      <c r="J20" s="28" t="str">
        <f t="shared" si="11"/>
        <v/>
      </c>
      <c r="K20" s="20"/>
      <c r="L20" s="21"/>
      <c r="M20" s="26"/>
      <c r="N20" s="26"/>
      <c r="O20" s="6" t="str">
        <f t="shared" si="0"/>
        <v>Previsión</v>
      </c>
      <c r="P20" s="6" t="str">
        <f>IFERROR(IF(AND(INDEX(criterio!$I$31:$I$111,MATCH(W20,criterio!$A$31:$A$111,0))=1,INDEX(criterio!$B$31:$B$111,MATCH(W20,criterio!$A$31:$A$111,0))=A20,ISNUMBER(B20),B20&gt;=criterio!$B$5,D20&lt;=criterio!$B$6,E20&gt;=criterio!$B$5),"Fuera de la previa del 20/12",""),"")</f>
        <v/>
      </c>
      <c r="Q20" s="22">
        <f t="shared" si="1"/>
        <v>46376</v>
      </c>
      <c r="R20">
        <f>IFERROR(MATCH(A20,criterio!$A$11:$A$22,0),0)</f>
        <v>10</v>
      </c>
      <c r="S20">
        <f>IF(R20=0,"",INDEX(criterio!$E$11:$E$22,R20))</f>
        <v>0</v>
      </c>
      <c r="T20">
        <f>IF(R20=0,"",INDEX(criterio!$C$11:$C$22,R20))</f>
        <v>1</v>
      </c>
      <c r="U20" t="str">
        <f>IF(R20=0,"",INDEX(criterio!$D$11:$D$22,R20))</f>
        <v>mes</v>
      </c>
      <c r="V20">
        <f>IF(AND(ISNUMBER(B20),B20=Turno!$B$3,OR(AL20="Preparar",AL20="Completar")),MAX($V$8:V19)+1,0)</f>
        <v>0</v>
      </c>
      <c r="W20" t="s">
        <v>52</v>
      </c>
      <c r="Y20" t="str">
        <f>IF(R20=0,"",INDEX(criterio!$I$11:$I$22,R20))</f>
        <v>Heladera 0–5 °C.</v>
      </c>
      <c r="Z20">
        <f t="shared" si="2"/>
        <v>5</v>
      </c>
      <c r="AA20" t="str">
        <f>IF(OR(A20="",COUNT(B20:C20)&lt;&gt;2),"",IF(OR(WEEKDAY(B20,2)&gt;5,COUNTIF(criterio!$B$25:$E$25,B20)&gt;0),"Cambiar día de elaboración",IF(OR(WEEKDAY(C20,2)&gt;5,COUNTIF(criterio!$B$25:$E$25,C20)&gt;0),"Cambiar día de retiro",IF(SUMIF($B$9:$B$128,B20,$AD$9:$AD$128)&gt;criterio!$D$26,"Más de dos recetas",IF(OR(A20="",NOT(ISNUMBER(B20))),"",IF(OR(NOT(ISNUMBER($Q$2)),NOT(ISNUMBER($Q$3)),$Q$2&lt;=0,$Q$3&lt;=0),"Revisar topes de carga",IF(SUMIFS($Z$9:$Z$128,$B$9:$B$128,B20,$F$9:$F$128,"kg")/$Q$2+SUMIFS($Z$9:$Z$128,$B$9:$B$128,B20,$F$9:$F$128,"L")/$Q$3&gt;1.000001,"Repartir carga del día","")))))))</f>
        <v/>
      </c>
      <c r="AB20" t="str">
        <f>IF(COUNTA(A20:E20,H20:I20,K20:N20)=0,"",IF(R20=0,"Elegir producto",IF(COUNT(B20:E20)&lt;&gt;4,"Completar fechas",IF(E20&lt;D20,"Revisar días de uso",IF(C20+criterio!$B$3&gt;D20,"El retiro llega tarde",IF(AND(N20&lt;&gt;"",OR(NOT(ISNUMBER(N20)),N20&lt;0)),"Revisar cantidad hecha",IF(AND(M20&lt;&gt;"",OR(NOT(ISNUMBER(M20)),M20&lt;0)),"Revisar cant. a adelantar",IF(AND(AND(ISBLANK(H20),L20="Adelanto"),NOT(ISNUMBER(AM20))),"Cargar cant. a adelantar",IF(AND(AND(ISBLANK(H20),L20="Adelanto"),I20&lt;&gt;"",OR(NOT(ISNUMBER(I20)),I20&lt;&gt;0)),"Revisar stock del adelanto",IF(AND(ISNUMBER(N20),N20&gt;0,L20&lt;&gt;"Sí",L20&lt;&gt;"Adelanto",N(M20)&lt;=0),"Hecho sin liberar",IF(AND(ISBLANK(H20),L20&lt;&gt;"Adelanto",OR(I20&lt;&gt;"",L20="Sí")),"Falta pedido real",IF(AND(H20&lt;&gt;"",OR(NOT(ISNUMBER(H20)),H20&lt;0)),"Revisar pedido",IF(AND(ISNUMBER(H20),H20=0,N(M20)&gt;0,N(N20)&gt;0,N(I20)=0),"Reasignar sobrante",IF(AND(ISNUMBER(H20),H20=0,OR(N20&gt;0,I20&gt;0)),"Revisar pedido y cantidades",IF(AND(ISNUMBER(H20),H20=0),"Sin pedido",IF(AND(ISNUMBER(H20),ISBLANK(I20)),"Falta anotar stock",IF(AND(I20&lt;&gt;"",OR(NOT(ISNUMBER(I20)),I20&lt;0,AND(ISNUMBER(H20),I20&gt;H20))),"Revisar stock asignado",IF(AND(ISNUMBER(I20),I20&gt;0,NOT(ISNUMBER(K20))),"Falta vencimiento de stock",IF(AND(ISNUMBER(I20),I20&gt;0,K20&lt;E20+criterio!$B$4),"El stock no cubre el uso",IF(AND(ISNUMBER(H20),ISNUMBER(I20),H20=I20,OR(N20="",N20=0)),"Cubierto con stock",IF(B20=criterio!$B$25,"Jornada bloqueada",IF(B20+S20&gt;C20,"No llega al retiro",IF(Q20&lt;E20,"Vence antes del último uso",IF(Q20&lt;E20+criterio!$B$4,"Falta margen de vida útil",IF(AND(ISBLANK(H20),L20&lt;&gt;"Adelanto",N(N20)&gt;0,N(M20)&gt;0),"Adelanto en pausa",IF(NOT(ISNUMBER(AM20)),"Previsión",IF(AND(ISNUMBER(H20),N(M20)&gt;0,N(N20)&gt;ROUND(H20-N(I20),3)),"Reasignar sobrante",IF(AND(ISNUMBER(N20),N20&gt;ROUND(AM20-N(I20),3)),"Revisar excedente",IF(AND(ISNUMBER(H20),L20&lt;&gt;"Sí",NOT(AND(N(M20)&gt;0,J20=0))),"Por confirmar",IF(J20=0,"Hecho",IF(AND(ISNUMBER(N20),N20&gt;0),"Completar","Preparar")))))))))))))))))))))))))))))))</f>
        <v>Previsión</v>
      </c>
      <c r="AC20">
        <f t="shared" si="3"/>
        <v>0</v>
      </c>
      <c r="AD20">
        <f>IF(OR(NOT(ISNUMBER(B20)),A20="",NOT(ISNUMBER(Z20)),Z20&lt;=0),0,IF(COUNTIFS($A$9:A20,A20,$B$9:B20,B20,$Z$9:Z20,"&gt;0")=1,1,0))</f>
        <v>1</v>
      </c>
      <c r="AE20">
        <f t="shared" si="4"/>
        <v>0</v>
      </c>
      <c r="AF20">
        <f t="shared" si="5"/>
        <v>0</v>
      </c>
      <c r="AG20" t="str">
        <f>IF(OR(AF20=0,AK20&lt;=0),"",IF(A20="Tsue","Retiro: ","Tanda: ")&amp;ROUND(AE20,3)&amp;" "&amp;F20&amp;". Acordar "&amp;INT(AE20/AK20)&amp;" o "&amp;ROUNDUP(AE20/AK20,0)&amp;IF(A20="Tsue"," envases de 5 L."," porciones de 500 g."))</f>
        <v/>
      </c>
      <c r="AH20">
        <f>IF(COUNTA(A20:E20,H20:I20,K20:L20,N20)=0,0,IF(OR(NOT(ISNUMBER(B20)),B20&lt;'Por semana'!$C$45,B20&gt;'Por semana'!$J$46+6),1,0))</f>
        <v>0</v>
      </c>
      <c r="AI20">
        <f t="shared" si="7"/>
        <v>5</v>
      </c>
      <c r="AJ20">
        <f t="shared" si="8"/>
        <v>1</v>
      </c>
      <c r="AK20">
        <f>IF(R20=0,0,IFERROR(INDEX(criterio!$J$11:$J$22,R20)+0,0))</f>
        <v>0</v>
      </c>
      <c r="AL20" t="str">
        <f t="shared" si="9"/>
        <v>Previsión</v>
      </c>
      <c r="AM20" t="str">
        <f t="shared" si="10"/>
        <v/>
      </c>
    </row>
    <row r="21" spans="1:39" ht="31" customHeight="1">
      <c r="A21" s="5" t="s">
        <v>53</v>
      </c>
      <c r="B21" s="19">
        <v>46346</v>
      </c>
      <c r="C21" s="19">
        <v>46356</v>
      </c>
      <c r="D21" s="19">
        <v>46357</v>
      </c>
      <c r="E21" s="19">
        <v>46371</v>
      </c>
      <c r="F21" s="4" t="str">
        <f>IF(R21=0,"",INDEX(criterio!$B$11:$B$22,R21))</f>
        <v>kg</v>
      </c>
      <c r="G21" s="23">
        <f>IFERROR(IF(INDEX(criterio!$B$31:$B$111,MATCH(W21,criterio!$A$31:$A$111,0))=A21,INDEX(criterio!$C$31:$C$111,MATCH(W21,criterio!$A$31:$A$111,0)),""),"")</f>
        <v>5</v>
      </c>
      <c r="H21" s="25"/>
      <c r="I21" s="25"/>
      <c r="J21" s="27" t="str">
        <f t="shared" si="11"/>
        <v/>
      </c>
      <c r="K21" s="20"/>
      <c r="L21" s="21"/>
      <c r="M21" s="25"/>
      <c r="N21" s="25"/>
      <c r="O21" s="6" t="str">
        <f t="shared" si="0"/>
        <v>Previsión</v>
      </c>
      <c r="P21" s="6" t="str">
        <f>IFERROR(IF(AND(INDEX(criterio!$I$31:$I$111,MATCH(W21,criterio!$A$31:$A$111,0))=1,INDEX(criterio!$B$31:$B$111,MATCH(W21,criterio!$A$31:$A$111,0))=A21,ISNUMBER(B21),B21&gt;=criterio!$B$5,D21&lt;=criterio!$B$6,E21&gt;=criterio!$B$5),"Fuera de la previa del 20/12",""),"")</f>
        <v/>
      </c>
      <c r="Q21" s="22">
        <f t="shared" si="1"/>
        <v>46376</v>
      </c>
      <c r="R21">
        <f>IFERROR(MATCH(A21,criterio!$A$11:$A$22,0),0)</f>
        <v>6</v>
      </c>
      <c r="S21">
        <f>IF(R21=0,"",INDEX(criterio!$E$11:$E$22,R21))</f>
        <v>0</v>
      </c>
      <c r="T21">
        <f>IF(R21=0,"",INDEX(criterio!$C$11:$C$22,R21))</f>
        <v>30</v>
      </c>
      <c r="U21" t="str">
        <f>IF(R21=0,"",INDEX(criterio!$D$11:$D$22,R21))</f>
        <v>días</v>
      </c>
      <c r="V21">
        <f>IF(AND(ISNUMBER(B21),B21=Turno!$B$3,OR(AL21="Preparar",AL21="Completar")),MAX($V$8:V20)+1,0)</f>
        <v>0</v>
      </c>
      <c r="W21" t="s">
        <v>54</v>
      </c>
      <c r="Y21" t="str">
        <f>IF(R21=0,"",INDEX(criterio!$I$11:$I$22,R21))</f>
        <v>Heladera 0–5 °C.
Abierto en topinera: 7 días, sin superar vencimiento.</v>
      </c>
      <c r="Z21">
        <f t="shared" si="2"/>
        <v>5</v>
      </c>
      <c r="AA21" t="str">
        <f>IF(OR(A21="",COUNT(B21:C21)&lt;&gt;2),"",IF(OR(WEEKDAY(B21,2)&gt;5,COUNTIF(criterio!$B$25:$E$25,B21)&gt;0),"Cambiar día de elaboración",IF(OR(WEEKDAY(C21,2)&gt;5,COUNTIF(criterio!$B$25:$E$25,C21)&gt;0),"Cambiar día de retiro",IF(SUMIF($B$9:$B$128,B21,$AD$9:$AD$128)&gt;criterio!$D$26,"Más de dos recetas",IF(OR(A21="",NOT(ISNUMBER(B21))),"",IF(OR(NOT(ISNUMBER($Q$2)),NOT(ISNUMBER($Q$3)),$Q$2&lt;=0,$Q$3&lt;=0),"Revisar topes de carga",IF(SUMIFS($Z$9:$Z$128,$B$9:$B$128,B21,$F$9:$F$128,"kg")/$Q$2+SUMIFS($Z$9:$Z$128,$B$9:$B$128,B21,$F$9:$F$128,"L")/$Q$3&gt;1.000001,"Repartir carga del día","")))))))</f>
        <v/>
      </c>
      <c r="AB21" t="str">
        <f>IF(COUNTA(A21:E21,H21:I21,K21:N21)=0,"",IF(R21=0,"Elegir producto",IF(COUNT(B21:E21)&lt;&gt;4,"Completar fechas",IF(E21&lt;D21,"Revisar días de uso",IF(C21+criterio!$B$3&gt;D21,"El retiro llega tarde",IF(AND(N21&lt;&gt;"",OR(NOT(ISNUMBER(N21)),N21&lt;0)),"Revisar cantidad hecha",IF(AND(M21&lt;&gt;"",OR(NOT(ISNUMBER(M21)),M21&lt;0)),"Revisar cant. a adelantar",IF(AND(AND(ISBLANK(H21),L21="Adelanto"),NOT(ISNUMBER(AM21))),"Cargar cant. a adelantar",IF(AND(AND(ISBLANK(H21),L21="Adelanto"),I21&lt;&gt;"",OR(NOT(ISNUMBER(I21)),I21&lt;&gt;0)),"Revisar stock del adelanto",IF(AND(ISNUMBER(N21),N21&gt;0,L21&lt;&gt;"Sí",L21&lt;&gt;"Adelanto",N(M21)&lt;=0),"Hecho sin liberar",IF(AND(ISBLANK(H21),L21&lt;&gt;"Adelanto",OR(I21&lt;&gt;"",L21="Sí")),"Falta pedido real",IF(AND(H21&lt;&gt;"",OR(NOT(ISNUMBER(H21)),H21&lt;0)),"Revisar pedido",IF(AND(ISNUMBER(H21),H21=0,N(M21)&gt;0,N(N21)&gt;0,N(I21)=0),"Reasignar sobrante",IF(AND(ISNUMBER(H21),H21=0,OR(N21&gt;0,I21&gt;0)),"Revisar pedido y cantidades",IF(AND(ISNUMBER(H21),H21=0),"Sin pedido",IF(AND(ISNUMBER(H21),ISBLANK(I21)),"Falta anotar stock",IF(AND(I21&lt;&gt;"",OR(NOT(ISNUMBER(I21)),I21&lt;0,AND(ISNUMBER(H21),I21&gt;H21))),"Revisar stock asignado",IF(AND(ISNUMBER(I21),I21&gt;0,NOT(ISNUMBER(K21))),"Falta vencimiento de stock",IF(AND(ISNUMBER(I21),I21&gt;0,K21&lt;E21+criterio!$B$4),"El stock no cubre el uso",IF(AND(ISNUMBER(H21),ISNUMBER(I21),H21=I21,OR(N21="",N21=0)),"Cubierto con stock",IF(B21=criterio!$B$25,"Jornada bloqueada",IF(B21+S21&gt;C21,"No llega al retiro",IF(Q21&lt;E21,"Vence antes del último uso",IF(Q21&lt;E21+criterio!$B$4,"Falta margen de vida útil",IF(AND(ISBLANK(H21),L21&lt;&gt;"Adelanto",N(N21)&gt;0,N(M21)&gt;0),"Adelanto en pausa",IF(NOT(ISNUMBER(AM21)),"Previsión",IF(AND(ISNUMBER(H21),N(M21)&gt;0,N(N21)&gt;ROUND(H21-N(I21),3)),"Reasignar sobrante",IF(AND(ISNUMBER(N21),N21&gt;ROUND(AM21-N(I21),3)),"Revisar excedente",IF(AND(ISNUMBER(H21),L21&lt;&gt;"Sí",NOT(AND(N(M21)&gt;0,J21=0))),"Por confirmar",IF(J21=0,"Hecho",IF(AND(ISNUMBER(N21),N21&gt;0),"Completar","Preparar")))))))))))))))))))))))))))))))</f>
        <v>Previsión</v>
      </c>
      <c r="AC21">
        <f t="shared" si="3"/>
        <v>0</v>
      </c>
      <c r="AD21">
        <f>IF(OR(NOT(ISNUMBER(B21)),A21="",NOT(ISNUMBER(Z21)),Z21&lt;=0),0,IF(COUNTIFS($A$9:A21,A21,$B$9:B21,B21,$Z$9:Z21,"&gt;0")=1,1,0))</f>
        <v>1</v>
      </c>
      <c r="AE21">
        <f t="shared" si="4"/>
        <v>0</v>
      </c>
      <c r="AF21">
        <f t="shared" si="5"/>
        <v>0</v>
      </c>
      <c r="AG21" t="str">
        <f>IF(OR(AF21=0,AK21&lt;=0),"",IF(A21="Tsue","Retiro: ","Tanda: ")&amp;ROUND(AE21,3)&amp;" "&amp;F21&amp;". Acordar "&amp;INT(AE21/AK21)&amp;" o "&amp;ROUNDUP(AE21/AK21,0)&amp;IF(A21="Tsue"," envases de 5 L."," porciones de 500 g."))</f>
        <v/>
      </c>
      <c r="AH21">
        <f>IF(COUNTA(A21:E21,H21:I21,K21:L21,N21)=0,0,IF(OR(NOT(ISNUMBER(B21)),B21&lt;'Por semana'!$C$45,B21&gt;'Por semana'!$J$46+6),1,0))</f>
        <v>0</v>
      </c>
      <c r="AI21">
        <f t="shared" si="7"/>
        <v>5</v>
      </c>
      <c r="AJ21">
        <f t="shared" si="8"/>
        <v>1</v>
      </c>
      <c r="AK21">
        <f>IF(R21=0,0,IFERROR(INDEX(criterio!$J$11:$J$22,R21)+0,0))</f>
        <v>0</v>
      </c>
      <c r="AL21" t="str">
        <f t="shared" si="9"/>
        <v>Previsión</v>
      </c>
      <c r="AM21" t="str">
        <f t="shared" si="10"/>
        <v/>
      </c>
    </row>
    <row r="22" spans="1:39" ht="31" customHeight="1">
      <c r="A22" s="5" t="s">
        <v>55</v>
      </c>
      <c r="B22" s="19">
        <v>46350</v>
      </c>
      <c r="C22" s="19">
        <v>46386</v>
      </c>
      <c r="D22" s="19">
        <v>46388</v>
      </c>
      <c r="E22" s="19">
        <v>46402</v>
      </c>
      <c r="F22" s="4" t="str">
        <f>IF(R22=0,"",INDEX(criterio!$B$11:$B$22,R22))</f>
        <v>kg</v>
      </c>
      <c r="G22" s="23">
        <f>IFERROR(IF(INDEX(criterio!$B$31:$B$111,MATCH(W22,criterio!$A$31:$A$111,0))=A22,INDEX(criterio!$C$31:$C$111,MATCH(W22,criterio!$A$31:$A$111,0)),""),"")</f>
        <v>8</v>
      </c>
      <c r="H22" s="25"/>
      <c r="I22" s="25"/>
      <c r="J22" s="27" t="str">
        <f t="shared" si="11"/>
        <v/>
      </c>
      <c r="K22" s="20"/>
      <c r="L22" s="21"/>
      <c r="M22" s="25"/>
      <c r="N22" s="25"/>
      <c r="O22" s="6" t="str">
        <f t="shared" si="0"/>
        <v>Previsión</v>
      </c>
      <c r="P22" s="6" t="str">
        <f>IFERROR(IF(AND(INDEX(criterio!$I$31:$I$111,MATCH(W22,criterio!$A$31:$A$111,0))=1,INDEX(criterio!$B$31:$B$111,MATCH(W22,criterio!$A$31:$A$111,0))=A22,ISNUMBER(B22),B22&gt;=criterio!$B$5,D22&lt;=criterio!$B$6,E22&gt;=criterio!$B$5),"Fuera de la previa del 20/12",""),"")</f>
        <v/>
      </c>
      <c r="Q22" s="22">
        <f t="shared" si="1"/>
        <v>46410</v>
      </c>
      <c r="R22">
        <f>IFERROR(MATCH(A22,criterio!$A$11:$A$22,0),0)</f>
        <v>3</v>
      </c>
      <c r="S22">
        <f>IF(R22=0,"",INDEX(criterio!$E$11:$E$22,R22))</f>
        <v>0</v>
      </c>
      <c r="T22">
        <f>IF(R22=0,"",INDEX(criterio!$C$11:$C$22,R22))</f>
        <v>60</v>
      </c>
      <c r="U22" t="str">
        <f>IF(R22=0,"",INDEX(criterio!$D$11:$D$22,R22))</f>
        <v>días</v>
      </c>
      <c r="V22">
        <f>IF(AND(ISNUMBER(B22),B22=Turno!$B$3,OR(AL22="Preparar",AL22="Completar")),MAX($V$8:V21)+1,0)</f>
        <v>0</v>
      </c>
      <c r="W22" t="s">
        <v>56</v>
      </c>
      <c r="Y22" t="str">
        <f>IF(R22=0,"",INDEX(criterio!$I$11:$I$22,R22))</f>
        <v>Seco, cerrado y sin humedad.
Abierto: 7 días, sin superar vencimiento.</v>
      </c>
      <c r="Z22">
        <f t="shared" si="2"/>
        <v>8</v>
      </c>
      <c r="AA22" t="str">
        <f>IF(OR(A22="",COUNT(B22:C22)&lt;&gt;2),"",IF(OR(WEEKDAY(B22,2)&gt;5,COUNTIF(criterio!$B$25:$E$25,B22)&gt;0),"Cambiar día de elaboración",IF(OR(WEEKDAY(C22,2)&gt;5,COUNTIF(criterio!$B$25:$E$25,C22)&gt;0),"Cambiar día de retiro",IF(SUMIF($B$9:$B$128,B22,$AD$9:$AD$128)&gt;criterio!$D$26,"Más de dos recetas",IF(OR(A22="",NOT(ISNUMBER(B22))),"",IF(OR(NOT(ISNUMBER($Q$2)),NOT(ISNUMBER($Q$3)),$Q$2&lt;=0,$Q$3&lt;=0),"Revisar topes de carga",IF(SUMIFS($Z$9:$Z$128,$B$9:$B$128,B22,$F$9:$F$128,"kg")/$Q$2+SUMIFS($Z$9:$Z$128,$B$9:$B$128,B22,$F$9:$F$128,"L")/$Q$3&gt;1.000001,"Repartir carga del día","")))))))</f>
        <v/>
      </c>
      <c r="AB22" t="str">
        <f>IF(COUNTA(A22:E22,H22:I22,K22:N22)=0,"",IF(R22=0,"Elegir producto",IF(COUNT(B22:E22)&lt;&gt;4,"Completar fechas",IF(E22&lt;D22,"Revisar días de uso",IF(C22+criterio!$B$3&gt;D22,"El retiro llega tarde",IF(AND(N22&lt;&gt;"",OR(NOT(ISNUMBER(N22)),N22&lt;0)),"Revisar cantidad hecha",IF(AND(M22&lt;&gt;"",OR(NOT(ISNUMBER(M22)),M22&lt;0)),"Revisar cant. a adelantar",IF(AND(AND(ISBLANK(H22),L22="Adelanto"),NOT(ISNUMBER(AM22))),"Cargar cant. a adelantar",IF(AND(AND(ISBLANK(H22),L22="Adelanto"),I22&lt;&gt;"",OR(NOT(ISNUMBER(I22)),I22&lt;&gt;0)),"Revisar stock del adelanto",IF(AND(ISNUMBER(N22),N22&gt;0,L22&lt;&gt;"Sí",L22&lt;&gt;"Adelanto",N(M22)&lt;=0),"Hecho sin liberar",IF(AND(ISBLANK(H22),L22&lt;&gt;"Adelanto",OR(I22&lt;&gt;"",L22="Sí")),"Falta pedido real",IF(AND(H22&lt;&gt;"",OR(NOT(ISNUMBER(H22)),H22&lt;0)),"Revisar pedido",IF(AND(ISNUMBER(H22),H22=0,N(M22)&gt;0,N(N22)&gt;0,N(I22)=0),"Reasignar sobrante",IF(AND(ISNUMBER(H22),H22=0,OR(N22&gt;0,I22&gt;0)),"Revisar pedido y cantidades",IF(AND(ISNUMBER(H22),H22=0),"Sin pedido",IF(AND(ISNUMBER(H22),ISBLANK(I22)),"Falta anotar stock",IF(AND(I22&lt;&gt;"",OR(NOT(ISNUMBER(I22)),I22&lt;0,AND(ISNUMBER(H22),I22&gt;H22))),"Revisar stock asignado",IF(AND(ISNUMBER(I22),I22&gt;0,NOT(ISNUMBER(K22))),"Falta vencimiento de stock",IF(AND(ISNUMBER(I22),I22&gt;0,K22&lt;E22+criterio!$B$4),"El stock no cubre el uso",IF(AND(ISNUMBER(H22),ISNUMBER(I22),H22=I22,OR(N22="",N22=0)),"Cubierto con stock",IF(B22=criterio!$B$25,"Jornada bloqueada",IF(B22+S22&gt;C22,"No llega al retiro",IF(Q22&lt;E22,"Vence antes del último uso",IF(Q22&lt;E22+criterio!$B$4,"Falta margen de vida útil",IF(AND(ISBLANK(H22),L22&lt;&gt;"Adelanto",N(N22)&gt;0,N(M22)&gt;0),"Adelanto en pausa",IF(NOT(ISNUMBER(AM22)),"Previsión",IF(AND(ISNUMBER(H22),N(M22)&gt;0,N(N22)&gt;ROUND(H22-N(I22),3)),"Reasignar sobrante",IF(AND(ISNUMBER(N22),N22&gt;ROUND(AM22-N(I22),3)),"Revisar excedente",IF(AND(ISNUMBER(H22),L22&lt;&gt;"Sí",NOT(AND(N(M22)&gt;0,J22=0))),"Por confirmar",IF(J22=0,"Hecho",IF(AND(ISNUMBER(N22),N22&gt;0),"Completar","Preparar")))))))))))))))))))))))))))))))</f>
        <v>Previsión</v>
      </c>
      <c r="AC22">
        <f t="shared" si="3"/>
        <v>0</v>
      </c>
      <c r="AD22">
        <f>IF(OR(NOT(ISNUMBER(B22)),A22="",NOT(ISNUMBER(Z22)),Z22&lt;=0),0,IF(COUNTIFS($A$9:A22,A22,$B$9:B22,B22,$Z$9:Z22,"&gt;0")=1,1,0))</f>
        <v>1</v>
      </c>
      <c r="AE22">
        <f t="shared" si="4"/>
        <v>0</v>
      </c>
      <c r="AF22">
        <f t="shared" si="5"/>
        <v>0</v>
      </c>
      <c r="AG22" t="str">
        <f>IF(OR(AF22=0,AK22&lt;=0),"",IF(A22="Tsue","Retiro: ","Tanda: ")&amp;ROUND(AE22,3)&amp;" "&amp;F22&amp;". Acordar "&amp;INT(AE22/AK22)&amp;" o "&amp;ROUNDUP(AE22/AK22,0)&amp;IF(A22="Tsue"," envases de 5 L."," porciones de 500 g."))</f>
        <v/>
      </c>
      <c r="AH22">
        <f>IF(COUNTA(A22:E22,H22:I22,K22:L22,N22)=0,0,IF(OR(NOT(ISNUMBER(B22)),B22&lt;'Por semana'!$C$45,B22&gt;'Por semana'!$J$46+6),1,0))</f>
        <v>0</v>
      </c>
      <c r="AI22">
        <f t="shared" si="7"/>
        <v>8</v>
      </c>
      <c r="AJ22">
        <f t="shared" si="8"/>
        <v>1</v>
      </c>
      <c r="AK22">
        <f>IF(R22=0,0,IFERROR(INDEX(criterio!$J$11:$J$22,R22)+0,0))</f>
        <v>0</v>
      </c>
      <c r="AL22" t="str">
        <f t="shared" si="9"/>
        <v>Previsión</v>
      </c>
      <c r="AM22" t="str">
        <f t="shared" si="10"/>
        <v/>
      </c>
    </row>
    <row r="23" spans="1:39" ht="31" customHeight="1">
      <c r="A23" s="5" t="s">
        <v>40</v>
      </c>
      <c r="B23" s="19">
        <v>46352</v>
      </c>
      <c r="C23" s="19">
        <v>46371</v>
      </c>
      <c r="D23" s="19">
        <v>46372</v>
      </c>
      <c r="E23" s="19">
        <v>46379</v>
      </c>
      <c r="F23" s="4" t="str">
        <f>IF(R23=0,"",INDEX(criterio!$B$11:$B$22,R23))</f>
        <v>L</v>
      </c>
      <c r="G23" s="24">
        <f>IFERROR(IF(INDEX(criterio!$B$31:$B$111,MATCH(W23,criterio!$A$31:$A$111,0))=A23,INDEX(criterio!$C$31:$C$111,MATCH(W23,criterio!$A$31:$A$111,0)),""),"")</f>
        <v>28</v>
      </c>
      <c r="H23" s="26"/>
      <c r="I23" s="26"/>
      <c r="J23" s="28" t="str">
        <f t="shared" si="11"/>
        <v/>
      </c>
      <c r="K23" s="20"/>
      <c r="L23" s="21"/>
      <c r="M23" s="26"/>
      <c r="N23" s="26"/>
      <c r="O23" s="6" t="str">
        <f t="shared" si="0"/>
        <v>Previsión</v>
      </c>
      <c r="P23" s="6" t="str">
        <f>IFERROR(IF(AND(INDEX(criterio!$I$31:$I$111,MATCH(W23,criterio!$A$31:$A$111,0))=1,INDEX(criterio!$B$31:$B$111,MATCH(W23,criterio!$A$31:$A$111,0))=A23,ISNUMBER(B23),B23&gt;=criterio!$B$5,D23&lt;=criterio!$B$6,E23&gt;=criterio!$B$5),"Fuera de la previa del 20/12",""),"")</f>
        <v/>
      </c>
      <c r="Q23" s="22">
        <f t="shared" si="1"/>
        <v>46382</v>
      </c>
      <c r="R23">
        <f>IFERROR(MATCH(A23,criterio!$A$11:$A$22,0),0)</f>
        <v>8</v>
      </c>
      <c r="S23">
        <f>IF(R23=0,"",INDEX(criterio!$E$11:$E$22,R23))</f>
        <v>0</v>
      </c>
      <c r="T23">
        <f>IF(R23=0,"",INDEX(criterio!$C$11:$C$22,R23))</f>
        <v>1</v>
      </c>
      <c r="U23" t="str">
        <f>IF(R23=0,"",INDEX(criterio!$D$11:$D$22,R23))</f>
        <v>mes</v>
      </c>
      <c r="V23">
        <f>IF(AND(ISNUMBER(B23),B23=Turno!$B$3,OR(AL23="Preparar",AL23="Completar")),MAX($V$8:V22)+1,0)</f>
        <v>0</v>
      </c>
      <c r="W23" t="s">
        <v>57</v>
      </c>
      <c r="Y23" t="str">
        <f>IF(R23=0,"",INDEX(criterio!$I$11:$I$22,R23))</f>
        <v>Lugar fresco y seco, 15–30 °C.
Proteger de luz y calor.</v>
      </c>
      <c r="Z23">
        <f t="shared" si="2"/>
        <v>28</v>
      </c>
      <c r="AA23" t="str">
        <f>IF(OR(A23="",COUNT(B23:C23)&lt;&gt;2),"",IF(OR(WEEKDAY(B23,2)&gt;5,COUNTIF(criterio!$B$25:$E$25,B23)&gt;0),"Cambiar día de elaboración",IF(OR(WEEKDAY(C23,2)&gt;5,COUNTIF(criterio!$B$25:$E$25,C23)&gt;0),"Cambiar día de retiro",IF(SUMIF($B$9:$B$128,B23,$AD$9:$AD$128)&gt;criterio!$D$26,"Más de dos recetas",IF(OR(A23="",NOT(ISNUMBER(B23))),"",IF(OR(NOT(ISNUMBER($Q$2)),NOT(ISNUMBER($Q$3)),$Q$2&lt;=0,$Q$3&lt;=0),"Revisar topes de carga",IF(SUMIFS($Z$9:$Z$128,$B$9:$B$128,B23,$F$9:$F$128,"kg")/$Q$2+SUMIFS($Z$9:$Z$128,$B$9:$B$128,B23,$F$9:$F$128,"L")/$Q$3&gt;1.000001,"Repartir carga del día","")))))))</f>
        <v/>
      </c>
      <c r="AB23" t="str">
        <f>IF(COUNTA(A23:E23,H23:I23,K23:N23)=0,"",IF(R23=0,"Elegir producto",IF(COUNT(B23:E23)&lt;&gt;4,"Completar fechas",IF(E23&lt;D23,"Revisar días de uso",IF(C23+criterio!$B$3&gt;D23,"El retiro llega tarde",IF(AND(N23&lt;&gt;"",OR(NOT(ISNUMBER(N23)),N23&lt;0)),"Revisar cantidad hecha",IF(AND(M23&lt;&gt;"",OR(NOT(ISNUMBER(M23)),M23&lt;0)),"Revisar cant. a adelantar",IF(AND(AND(ISBLANK(H23),L23="Adelanto"),NOT(ISNUMBER(AM23))),"Cargar cant. a adelantar",IF(AND(AND(ISBLANK(H23),L23="Adelanto"),I23&lt;&gt;"",OR(NOT(ISNUMBER(I23)),I23&lt;&gt;0)),"Revisar stock del adelanto",IF(AND(ISNUMBER(N23),N23&gt;0,L23&lt;&gt;"Sí",L23&lt;&gt;"Adelanto",N(M23)&lt;=0),"Hecho sin liberar",IF(AND(ISBLANK(H23),L23&lt;&gt;"Adelanto",OR(I23&lt;&gt;"",L23="Sí")),"Falta pedido real",IF(AND(H23&lt;&gt;"",OR(NOT(ISNUMBER(H23)),H23&lt;0)),"Revisar pedido",IF(AND(ISNUMBER(H23),H23=0,N(M23)&gt;0,N(N23)&gt;0,N(I23)=0),"Reasignar sobrante",IF(AND(ISNUMBER(H23),H23=0,OR(N23&gt;0,I23&gt;0)),"Revisar pedido y cantidades",IF(AND(ISNUMBER(H23),H23=0),"Sin pedido",IF(AND(ISNUMBER(H23),ISBLANK(I23)),"Falta anotar stock",IF(AND(I23&lt;&gt;"",OR(NOT(ISNUMBER(I23)),I23&lt;0,AND(ISNUMBER(H23),I23&gt;H23))),"Revisar stock asignado",IF(AND(ISNUMBER(I23),I23&gt;0,NOT(ISNUMBER(K23))),"Falta vencimiento de stock",IF(AND(ISNUMBER(I23),I23&gt;0,K23&lt;E23+criterio!$B$4),"El stock no cubre el uso",IF(AND(ISNUMBER(H23),ISNUMBER(I23),H23=I23,OR(N23="",N23=0)),"Cubierto con stock",IF(B23=criterio!$B$25,"Jornada bloqueada",IF(B23+S23&gt;C23,"No llega al retiro",IF(Q23&lt;E23,"Vence antes del último uso",IF(Q23&lt;E23+criterio!$B$4,"Falta margen de vida útil",IF(AND(ISBLANK(H23),L23&lt;&gt;"Adelanto",N(N23)&gt;0,N(M23)&gt;0),"Adelanto en pausa",IF(NOT(ISNUMBER(AM23)),"Previsión",IF(AND(ISNUMBER(H23),N(M23)&gt;0,N(N23)&gt;ROUND(H23-N(I23),3)),"Reasignar sobrante",IF(AND(ISNUMBER(N23),N23&gt;ROUND(AM23-N(I23),3)),"Revisar excedente",IF(AND(ISNUMBER(H23),L23&lt;&gt;"Sí",NOT(AND(N(M23)&gt;0,J23=0))),"Por confirmar",IF(J23=0,"Hecho",IF(AND(ISNUMBER(N23),N23&gt;0),"Completar","Preparar")))))))))))))))))))))))))))))))</f>
        <v>Previsión</v>
      </c>
      <c r="AC23">
        <f t="shared" si="3"/>
        <v>0</v>
      </c>
      <c r="AD23">
        <f>IF(OR(NOT(ISNUMBER(B23)),A23="",NOT(ISNUMBER(Z23)),Z23&lt;=0),0,IF(COUNTIFS($A$9:A23,A23,$B$9:B23,B23,$Z$9:Z23,"&gt;0")=1,1,0))</f>
        <v>1</v>
      </c>
      <c r="AE23">
        <f t="shared" si="4"/>
        <v>0</v>
      </c>
      <c r="AF23">
        <f t="shared" si="5"/>
        <v>0</v>
      </c>
      <c r="AG23" t="str">
        <f>IF(OR(AF23=0,AK23&lt;=0),"",IF(A23="Tsue","Retiro: ","Tanda: ")&amp;ROUND(AE23,3)&amp;" "&amp;F23&amp;". Acordar "&amp;INT(AE23/AK23)&amp;" o "&amp;ROUNDUP(AE23/AK23,0)&amp;IF(A23="Tsue"," envases de 5 L."," porciones de 500 g."))</f>
        <v/>
      </c>
      <c r="AH23">
        <f>IF(COUNTA(A23:E23,H23:I23,K23:L23,N23)=0,0,IF(OR(NOT(ISNUMBER(B23)),B23&lt;'Por semana'!$C$45,B23&gt;'Por semana'!$J$46+6),1,0))</f>
        <v>0</v>
      </c>
      <c r="AI23">
        <f t="shared" si="7"/>
        <v>28</v>
      </c>
      <c r="AJ23">
        <f t="shared" si="8"/>
        <v>1</v>
      </c>
      <c r="AK23">
        <f>IF(R23=0,0,IFERROR(INDEX(criterio!$J$11:$J$22,R23)+0,0))</f>
        <v>5</v>
      </c>
      <c r="AL23" t="str">
        <f t="shared" si="9"/>
        <v>Previsión</v>
      </c>
      <c r="AM23" t="str">
        <f t="shared" si="10"/>
        <v/>
      </c>
    </row>
    <row r="24" spans="1:39" ht="31" customHeight="1">
      <c r="A24" s="5" t="s">
        <v>55</v>
      </c>
      <c r="B24" s="19">
        <v>46356</v>
      </c>
      <c r="C24" s="19">
        <v>46371</v>
      </c>
      <c r="D24" s="19">
        <v>46372</v>
      </c>
      <c r="E24" s="19">
        <v>46387</v>
      </c>
      <c r="F24" s="4" t="str">
        <f>IF(R24=0,"",INDEX(criterio!$B$11:$B$22,R24))</f>
        <v>kg</v>
      </c>
      <c r="G24" s="23">
        <f>IFERROR(IF(INDEX(criterio!$B$31:$B$111,MATCH(W24,criterio!$A$31:$A$111,0))=A24,INDEX(criterio!$C$31:$C$111,MATCH(W24,criterio!$A$31:$A$111,0)),""),"")</f>
        <v>8</v>
      </c>
      <c r="H24" s="25"/>
      <c r="I24" s="25"/>
      <c r="J24" s="27" t="str">
        <f t="shared" si="11"/>
        <v/>
      </c>
      <c r="K24" s="20"/>
      <c r="L24" s="21"/>
      <c r="M24" s="25"/>
      <c r="N24" s="25"/>
      <c r="O24" s="6" t="str">
        <f t="shared" si="0"/>
        <v>Previsión</v>
      </c>
      <c r="P24" s="6" t="str">
        <f>IFERROR(IF(AND(INDEX(criterio!$I$31:$I$111,MATCH(W24,criterio!$A$31:$A$111,0))=1,INDEX(criterio!$B$31:$B$111,MATCH(W24,criterio!$A$31:$A$111,0))=A24,ISNUMBER(B24),B24&gt;=criterio!$B$5,D24&lt;=criterio!$B$6,E24&gt;=criterio!$B$5),"Fuera de la previa del 20/12",""),"")</f>
        <v/>
      </c>
      <c r="Q24" s="22">
        <f t="shared" si="1"/>
        <v>46416</v>
      </c>
      <c r="R24">
        <f>IFERROR(MATCH(A24,criterio!$A$11:$A$22,0),0)</f>
        <v>3</v>
      </c>
      <c r="S24">
        <f>IF(R24=0,"",INDEX(criterio!$E$11:$E$22,R24))</f>
        <v>0</v>
      </c>
      <c r="T24">
        <f>IF(R24=0,"",INDEX(criterio!$C$11:$C$22,R24))</f>
        <v>60</v>
      </c>
      <c r="U24" t="str">
        <f>IF(R24=0,"",INDEX(criterio!$D$11:$D$22,R24))</f>
        <v>días</v>
      </c>
      <c r="V24">
        <f>IF(AND(ISNUMBER(B24),B24=Turno!$B$3,OR(AL24="Preparar",AL24="Completar")),MAX($V$8:V23)+1,0)</f>
        <v>0</v>
      </c>
      <c r="W24" t="s">
        <v>58</v>
      </c>
      <c r="Y24" t="str">
        <f>IF(R24=0,"",INDEX(criterio!$I$11:$I$22,R24))</f>
        <v>Seco, cerrado y sin humedad.
Abierto: 7 días, sin superar vencimiento.</v>
      </c>
      <c r="Z24">
        <f t="shared" si="2"/>
        <v>8</v>
      </c>
      <c r="AA24" t="str">
        <f>IF(OR(A24="",COUNT(B24:C24)&lt;&gt;2),"",IF(OR(WEEKDAY(B24,2)&gt;5,COUNTIF(criterio!$B$25:$E$25,B24)&gt;0),"Cambiar día de elaboración",IF(OR(WEEKDAY(C24,2)&gt;5,COUNTIF(criterio!$B$25:$E$25,C24)&gt;0),"Cambiar día de retiro",IF(SUMIF($B$9:$B$128,B24,$AD$9:$AD$128)&gt;criterio!$D$26,"Más de dos recetas",IF(OR(A24="",NOT(ISNUMBER(B24))),"",IF(OR(NOT(ISNUMBER($Q$2)),NOT(ISNUMBER($Q$3)),$Q$2&lt;=0,$Q$3&lt;=0),"Revisar topes de carga",IF(SUMIFS($Z$9:$Z$128,$B$9:$B$128,B24,$F$9:$F$128,"kg")/$Q$2+SUMIFS($Z$9:$Z$128,$B$9:$B$128,B24,$F$9:$F$128,"L")/$Q$3&gt;1.000001,"Repartir carga del día","")))))))</f>
        <v/>
      </c>
      <c r="AB24" t="str">
        <f>IF(COUNTA(A24:E24,H24:I24,K24:N24)=0,"",IF(R24=0,"Elegir producto",IF(COUNT(B24:E24)&lt;&gt;4,"Completar fechas",IF(E24&lt;D24,"Revisar días de uso",IF(C24+criterio!$B$3&gt;D24,"El retiro llega tarde",IF(AND(N24&lt;&gt;"",OR(NOT(ISNUMBER(N24)),N24&lt;0)),"Revisar cantidad hecha",IF(AND(M24&lt;&gt;"",OR(NOT(ISNUMBER(M24)),M24&lt;0)),"Revisar cant. a adelantar",IF(AND(AND(ISBLANK(H24),L24="Adelanto"),NOT(ISNUMBER(AM24))),"Cargar cant. a adelantar",IF(AND(AND(ISBLANK(H24),L24="Adelanto"),I24&lt;&gt;"",OR(NOT(ISNUMBER(I24)),I24&lt;&gt;0)),"Revisar stock del adelanto",IF(AND(ISNUMBER(N24),N24&gt;0,L24&lt;&gt;"Sí",L24&lt;&gt;"Adelanto",N(M24)&lt;=0),"Hecho sin liberar",IF(AND(ISBLANK(H24),L24&lt;&gt;"Adelanto",OR(I24&lt;&gt;"",L24="Sí")),"Falta pedido real",IF(AND(H24&lt;&gt;"",OR(NOT(ISNUMBER(H24)),H24&lt;0)),"Revisar pedido",IF(AND(ISNUMBER(H24),H24=0,N(M24)&gt;0,N(N24)&gt;0,N(I24)=0),"Reasignar sobrante",IF(AND(ISNUMBER(H24),H24=0,OR(N24&gt;0,I24&gt;0)),"Revisar pedido y cantidades",IF(AND(ISNUMBER(H24),H24=0),"Sin pedido",IF(AND(ISNUMBER(H24),ISBLANK(I24)),"Falta anotar stock",IF(AND(I24&lt;&gt;"",OR(NOT(ISNUMBER(I24)),I24&lt;0,AND(ISNUMBER(H24),I24&gt;H24))),"Revisar stock asignado",IF(AND(ISNUMBER(I24),I24&gt;0,NOT(ISNUMBER(K24))),"Falta vencimiento de stock",IF(AND(ISNUMBER(I24),I24&gt;0,K24&lt;E24+criterio!$B$4),"El stock no cubre el uso",IF(AND(ISNUMBER(H24),ISNUMBER(I24),H24=I24,OR(N24="",N24=0)),"Cubierto con stock",IF(B24=criterio!$B$25,"Jornada bloqueada",IF(B24+S24&gt;C24,"No llega al retiro",IF(Q24&lt;E24,"Vence antes del último uso",IF(Q24&lt;E24+criterio!$B$4,"Falta margen de vida útil",IF(AND(ISBLANK(H24),L24&lt;&gt;"Adelanto",N(N24)&gt;0,N(M24)&gt;0),"Adelanto en pausa",IF(NOT(ISNUMBER(AM24)),"Previsión",IF(AND(ISNUMBER(H24),N(M24)&gt;0,N(N24)&gt;ROUND(H24-N(I24),3)),"Reasignar sobrante",IF(AND(ISNUMBER(N24),N24&gt;ROUND(AM24-N(I24),3)),"Revisar excedente",IF(AND(ISNUMBER(H24),L24&lt;&gt;"Sí",NOT(AND(N(M24)&gt;0,J24=0))),"Por confirmar",IF(J24=0,"Hecho",IF(AND(ISNUMBER(N24),N24&gt;0),"Completar","Preparar")))))))))))))))))))))))))))))))</f>
        <v>Previsión</v>
      </c>
      <c r="AC24">
        <f t="shared" si="3"/>
        <v>0</v>
      </c>
      <c r="AD24">
        <f>IF(OR(NOT(ISNUMBER(B24)),A24="",NOT(ISNUMBER(Z24)),Z24&lt;=0),0,IF(COUNTIFS($A$9:A24,A24,$B$9:B24,B24,$Z$9:Z24,"&gt;0")=1,1,0))</f>
        <v>1</v>
      </c>
      <c r="AE24">
        <f t="shared" si="4"/>
        <v>0</v>
      </c>
      <c r="AF24">
        <f t="shared" si="5"/>
        <v>0</v>
      </c>
      <c r="AG24" t="str">
        <f>IF(OR(AF24=0,AK24&lt;=0),"",IF(A24="Tsue","Retiro: ","Tanda: ")&amp;ROUND(AE24,3)&amp;" "&amp;F24&amp;". Acordar "&amp;INT(AE24/AK24)&amp;" o "&amp;ROUNDUP(AE24/AK24,0)&amp;IF(A24="Tsue"," envases de 5 L."," porciones de 500 g."))</f>
        <v/>
      </c>
      <c r="AH24">
        <f>IF(COUNTA(A24:E24,H24:I24,K24:L24,N24)=0,0,IF(OR(NOT(ISNUMBER(B24)),B24&lt;'Por semana'!$C$45,B24&gt;'Por semana'!$J$46+6),1,0))</f>
        <v>0</v>
      </c>
      <c r="AI24">
        <f t="shared" si="7"/>
        <v>8</v>
      </c>
      <c r="AJ24">
        <f t="shared" si="8"/>
        <v>1</v>
      </c>
      <c r="AK24">
        <f>IF(R24=0,0,IFERROR(INDEX(criterio!$J$11:$J$22,R24)+0,0))</f>
        <v>0</v>
      </c>
      <c r="AL24" t="str">
        <f t="shared" si="9"/>
        <v>Previsión</v>
      </c>
      <c r="AM24" t="str">
        <f t="shared" si="10"/>
        <v/>
      </c>
    </row>
    <row r="25" spans="1:39" ht="31" customHeight="1">
      <c r="A25" s="5" t="s">
        <v>59</v>
      </c>
      <c r="B25" s="19">
        <v>46356</v>
      </c>
      <c r="C25" s="19">
        <v>46356</v>
      </c>
      <c r="D25" s="19">
        <v>46357</v>
      </c>
      <c r="E25" s="19">
        <v>46363</v>
      </c>
      <c r="F25" s="4" t="str">
        <f>IF(R25=0,"",INDEX(criterio!$B$11:$B$22,R25))</f>
        <v>kg</v>
      </c>
      <c r="G25" s="23">
        <f>IFERROR(IF(INDEX(criterio!$B$31:$B$111,MATCH(W25,criterio!$A$31:$A$111,0))=A25,INDEX(criterio!$C$31:$C$111,MATCH(W25,criterio!$A$31:$A$111,0)),""),"")</f>
        <v>2.3340000000000001</v>
      </c>
      <c r="H25" s="25"/>
      <c r="I25" s="25"/>
      <c r="J25" s="27" t="str">
        <f t="shared" si="11"/>
        <v/>
      </c>
      <c r="K25" s="20"/>
      <c r="L25" s="21"/>
      <c r="M25" s="25"/>
      <c r="N25" s="25"/>
      <c r="O25" s="6" t="str">
        <f t="shared" si="0"/>
        <v>Previsión</v>
      </c>
      <c r="P25" s="6" t="str">
        <f>IFERROR(IF(AND(INDEX(criterio!$I$31:$I$111,MATCH(W25,criterio!$A$31:$A$111,0))=1,INDEX(criterio!$B$31:$B$111,MATCH(W25,criterio!$A$31:$A$111,0))=A25,ISNUMBER(B25),B25&gt;=criterio!$B$5,D25&lt;=criterio!$B$6,E25&gt;=criterio!$B$5),"Fuera de la previa del 20/12",""),"")</f>
        <v/>
      </c>
      <c r="Q25" s="22">
        <f t="shared" si="1"/>
        <v>46366</v>
      </c>
      <c r="R25">
        <f>IFERROR(MATCH(A25,criterio!$A$11:$A$22,0),0)</f>
        <v>12</v>
      </c>
      <c r="S25">
        <f>IF(R25=0,"",INDEX(criterio!$E$11:$E$22,R25))</f>
        <v>0</v>
      </c>
      <c r="T25">
        <f>IF(R25=0,"",INDEX(criterio!$C$11:$C$22,R25))</f>
        <v>10</v>
      </c>
      <c r="U25" t="str">
        <f>IF(R25=0,"",INDEX(criterio!$D$11:$D$22,R25))</f>
        <v>días</v>
      </c>
      <c r="V25">
        <f>IF(AND(ISNUMBER(B25),B25=Turno!$B$3,OR(AL25="Preparar",AL25="Completar")),MAX($V$8:V24)+1,0)</f>
        <v>0</v>
      </c>
      <c r="W25" t="s">
        <v>60</v>
      </c>
      <c r="Y25" t="str">
        <f>IF(R25=0,"",INDEX(criterio!$I$11:$I$22,R25))</f>
        <v>Heladera 0–5 °C.</v>
      </c>
      <c r="Z25">
        <f t="shared" si="2"/>
        <v>2.3340000000000001</v>
      </c>
      <c r="AA25" t="str">
        <f>IF(OR(A25="",COUNT(B25:C25)&lt;&gt;2),"",IF(OR(WEEKDAY(B25,2)&gt;5,COUNTIF(criterio!$B$25:$E$25,B25)&gt;0),"Cambiar día de elaboración",IF(OR(WEEKDAY(C25,2)&gt;5,COUNTIF(criterio!$B$25:$E$25,C25)&gt;0),"Cambiar día de retiro",IF(SUMIF($B$9:$B$128,B25,$AD$9:$AD$128)&gt;criterio!$D$26,"Más de dos recetas",IF(OR(A25="",NOT(ISNUMBER(B25))),"",IF(OR(NOT(ISNUMBER($Q$2)),NOT(ISNUMBER($Q$3)),$Q$2&lt;=0,$Q$3&lt;=0),"Revisar topes de carga",IF(SUMIFS($Z$9:$Z$128,$B$9:$B$128,B25,$F$9:$F$128,"kg")/$Q$2+SUMIFS($Z$9:$Z$128,$B$9:$B$128,B25,$F$9:$F$128,"L")/$Q$3&gt;1.000001,"Repartir carga del día","")))))))</f>
        <v/>
      </c>
      <c r="AB25" t="str">
        <f>IF(COUNTA(A25:E25,H25:I25,K25:N25)=0,"",IF(R25=0,"Elegir producto",IF(COUNT(B25:E25)&lt;&gt;4,"Completar fechas",IF(E25&lt;D25,"Revisar días de uso",IF(C25+criterio!$B$3&gt;D25,"El retiro llega tarde",IF(AND(N25&lt;&gt;"",OR(NOT(ISNUMBER(N25)),N25&lt;0)),"Revisar cantidad hecha",IF(AND(M25&lt;&gt;"",OR(NOT(ISNUMBER(M25)),M25&lt;0)),"Revisar cant. a adelantar",IF(AND(AND(ISBLANK(H25),L25="Adelanto"),NOT(ISNUMBER(AM25))),"Cargar cant. a adelantar",IF(AND(AND(ISBLANK(H25),L25="Adelanto"),I25&lt;&gt;"",OR(NOT(ISNUMBER(I25)),I25&lt;&gt;0)),"Revisar stock del adelanto",IF(AND(ISNUMBER(N25),N25&gt;0,L25&lt;&gt;"Sí",L25&lt;&gt;"Adelanto",N(M25)&lt;=0),"Hecho sin liberar",IF(AND(ISBLANK(H25),L25&lt;&gt;"Adelanto",OR(I25&lt;&gt;"",L25="Sí")),"Falta pedido real",IF(AND(H25&lt;&gt;"",OR(NOT(ISNUMBER(H25)),H25&lt;0)),"Revisar pedido",IF(AND(ISNUMBER(H25),H25=0,N(M25)&gt;0,N(N25)&gt;0,N(I25)=0),"Reasignar sobrante",IF(AND(ISNUMBER(H25),H25=0,OR(N25&gt;0,I25&gt;0)),"Revisar pedido y cantidades",IF(AND(ISNUMBER(H25),H25=0),"Sin pedido",IF(AND(ISNUMBER(H25),ISBLANK(I25)),"Falta anotar stock",IF(AND(I25&lt;&gt;"",OR(NOT(ISNUMBER(I25)),I25&lt;0,AND(ISNUMBER(H25),I25&gt;H25))),"Revisar stock asignado",IF(AND(ISNUMBER(I25),I25&gt;0,NOT(ISNUMBER(K25))),"Falta vencimiento de stock",IF(AND(ISNUMBER(I25),I25&gt;0,K25&lt;E25+criterio!$B$4),"El stock no cubre el uso",IF(AND(ISNUMBER(H25),ISNUMBER(I25),H25=I25,OR(N25="",N25=0)),"Cubierto con stock",IF(B25=criterio!$B$25,"Jornada bloqueada",IF(B25+S25&gt;C25,"No llega al retiro",IF(Q25&lt;E25,"Vence antes del último uso",IF(Q25&lt;E25+criterio!$B$4,"Falta margen de vida útil",IF(AND(ISBLANK(H25),L25&lt;&gt;"Adelanto",N(N25)&gt;0,N(M25)&gt;0),"Adelanto en pausa",IF(NOT(ISNUMBER(AM25)),"Previsión",IF(AND(ISNUMBER(H25),N(M25)&gt;0,N(N25)&gt;ROUND(H25-N(I25),3)),"Reasignar sobrante",IF(AND(ISNUMBER(N25),N25&gt;ROUND(AM25-N(I25),3)),"Revisar excedente",IF(AND(ISNUMBER(H25),L25&lt;&gt;"Sí",NOT(AND(N(M25)&gt;0,J25=0))),"Por confirmar",IF(J25=0,"Hecho",IF(AND(ISNUMBER(N25),N25&gt;0),"Completar","Preparar")))))))))))))))))))))))))))))))</f>
        <v>Previsión</v>
      </c>
      <c r="AC25">
        <f t="shared" si="3"/>
        <v>0</v>
      </c>
      <c r="AD25">
        <f>IF(OR(NOT(ISNUMBER(B25)),A25="",NOT(ISNUMBER(Z25)),Z25&lt;=0),0,IF(COUNTIFS($A$9:A25,A25,$B$9:B25,B25,$Z$9:Z25,"&gt;0")=1,1,0))</f>
        <v>1</v>
      </c>
      <c r="AE25">
        <f t="shared" si="4"/>
        <v>2.3340000000000001</v>
      </c>
      <c r="AF25">
        <f t="shared" si="5"/>
        <v>1</v>
      </c>
      <c r="AG25" t="str">
        <f>IF(OR(AF25=0,AK25&lt;=0),"",IF(A25="Tsue","Retiro: ","Tanda: ")&amp;ROUND(AE25,3)&amp;" "&amp;F25&amp;". Acordar "&amp;INT(AE25/AK25)&amp;" o "&amp;ROUNDUP(AE25/AK25,0)&amp;IF(A25="Tsue"," envases de 5 L."," porciones de 500 g."))</f>
        <v>Tanda: 2.334 kg. Acordar 4 o 5 porciones de 500 g.</v>
      </c>
      <c r="AH25">
        <f>IF(COUNTA(A25:E25,H25:I25,K25:L25,N25)=0,0,IF(OR(NOT(ISNUMBER(B25)),B25&lt;'Por semana'!$C$45,B25&gt;'Por semana'!$J$46+6),1,0))</f>
        <v>0</v>
      </c>
      <c r="AI25">
        <f t="shared" si="7"/>
        <v>2.3340000000000001</v>
      </c>
      <c r="AJ25">
        <f t="shared" si="8"/>
        <v>1</v>
      </c>
      <c r="AK25">
        <f>IF(R25=0,0,IFERROR(INDEX(criterio!$J$11:$J$22,R25)+0,0))</f>
        <v>0.5</v>
      </c>
      <c r="AL25" t="str">
        <f t="shared" si="9"/>
        <v>Previsión</v>
      </c>
      <c r="AM25" t="str">
        <f t="shared" si="10"/>
        <v/>
      </c>
    </row>
    <row r="26" spans="1:39" ht="31" customHeight="1">
      <c r="A26" s="5" t="s">
        <v>34</v>
      </c>
      <c r="B26" s="19">
        <v>46357</v>
      </c>
      <c r="C26" s="19">
        <v>46386</v>
      </c>
      <c r="D26" s="19">
        <v>46388</v>
      </c>
      <c r="E26" s="19">
        <v>46402</v>
      </c>
      <c r="F26" s="4" t="str">
        <f>IF(R26=0,"",INDEX(criterio!$B$11:$B$22,R26))</f>
        <v>kg</v>
      </c>
      <c r="G26" s="23">
        <f>IFERROR(IF(INDEX(criterio!$B$31:$B$111,MATCH(W26,criterio!$A$31:$A$111,0))=A26,INDEX(criterio!$C$31:$C$111,MATCH(W26,criterio!$A$31:$A$111,0)),""),"")</f>
        <v>17</v>
      </c>
      <c r="H26" s="25"/>
      <c r="I26" s="25"/>
      <c r="J26" s="27" t="str">
        <f t="shared" si="11"/>
        <v/>
      </c>
      <c r="K26" s="20"/>
      <c r="L26" s="21"/>
      <c r="M26" s="25"/>
      <c r="N26" s="25"/>
      <c r="O26" s="6" t="str">
        <f t="shared" si="0"/>
        <v>Previsión</v>
      </c>
      <c r="P26" s="6" t="str">
        <f>IFERROR(IF(AND(INDEX(criterio!$I$31:$I$111,MATCH(W26,criterio!$A$31:$A$111,0))=1,INDEX(criterio!$B$31:$B$111,MATCH(W26,criterio!$A$31:$A$111,0))=A26,ISNUMBER(B26),B26&gt;=criterio!$B$5,D26&lt;=criterio!$B$6,E26&gt;=criterio!$B$5),"Fuera de la previa del 20/12",""),"")</f>
        <v/>
      </c>
      <c r="Q26" s="22">
        <f t="shared" si="1"/>
        <v>46447</v>
      </c>
      <c r="R26">
        <f>IFERROR(MATCH(A26,criterio!$A$11:$A$22,0),0)</f>
        <v>1</v>
      </c>
      <c r="S26">
        <f>IF(R26=0,"",INDEX(criterio!$E$11:$E$22,R26))</f>
        <v>0</v>
      </c>
      <c r="T26">
        <f>IF(R26=0,"",INDEX(criterio!$C$11:$C$22,R26))</f>
        <v>90</v>
      </c>
      <c r="U26" t="str">
        <f>IF(R26=0,"",INDEX(criterio!$D$11:$D$22,R26))</f>
        <v>días</v>
      </c>
      <c r="V26">
        <f>IF(AND(ISNUMBER(B26),B26=Turno!$B$3,OR(AL26="Preparar",AL26="Completar")),MAX($V$8:V25)+1,0)</f>
        <v>0</v>
      </c>
      <c r="W26" t="s">
        <v>61</v>
      </c>
      <c r="Y26" t="str">
        <f>IF(R26=0,"",INDEX(criterio!$I$11:$I$22,R26))</f>
        <v>Freezer −18 °C.
Abierta en heladera: 3 días, sin superar vencimiento.</v>
      </c>
      <c r="Z26">
        <f t="shared" si="2"/>
        <v>17</v>
      </c>
      <c r="AA26" t="str">
        <f>IF(OR(A26="",COUNT(B26:C26)&lt;&gt;2),"",IF(OR(WEEKDAY(B26,2)&gt;5,COUNTIF(criterio!$B$25:$E$25,B26)&gt;0),"Cambiar día de elaboración",IF(OR(WEEKDAY(C26,2)&gt;5,COUNTIF(criterio!$B$25:$E$25,C26)&gt;0),"Cambiar día de retiro",IF(SUMIF($B$9:$B$128,B26,$AD$9:$AD$128)&gt;criterio!$D$26,"Más de dos recetas",IF(OR(A26="",NOT(ISNUMBER(B26))),"",IF(OR(NOT(ISNUMBER($Q$2)),NOT(ISNUMBER($Q$3)),$Q$2&lt;=0,$Q$3&lt;=0),"Revisar topes de carga",IF(SUMIFS($Z$9:$Z$128,$B$9:$B$128,B26,$F$9:$F$128,"kg")/$Q$2+SUMIFS($Z$9:$Z$128,$B$9:$B$128,B26,$F$9:$F$128,"L")/$Q$3&gt;1.000001,"Repartir carga del día","")))))))</f>
        <v/>
      </c>
      <c r="AB26" t="str">
        <f>IF(COUNTA(A26:E26,H26:I26,K26:N26)=0,"",IF(R26=0,"Elegir producto",IF(COUNT(B26:E26)&lt;&gt;4,"Completar fechas",IF(E26&lt;D26,"Revisar días de uso",IF(C26+criterio!$B$3&gt;D26,"El retiro llega tarde",IF(AND(N26&lt;&gt;"",OR(NOT(ISNUMBER(N26)),N26&lt;0)),"Revisar cantidad hecha",IF(AND(M26&lt;&gt;"",OR(NOT(ISNUMBER(M26)),M26&lt;0)),"Revisar cant. a adelantar",IF(AND(AND(ISBLANK(H26),L26="Adelanto"),NOT(ISNUMBER(AM26))),"Cargar cant. a adelantar",IF(AND(AND(ISBLANK(H26),L26="Adelanto"),I26&lt;&gt;"",OR(NOT(ISNUMBER(I26)),I26&lt;&gt;0)),"Revisar stock del adelanto",IF(AND(ISNUMBER(N26),N26&gt;0,L26&lt;&gt;"Sí",L26&lt;&gt;"Adelanto",N(M26)&lt;=0),"Hecho sin liberar",IF(AND(ISBLANK(H26),L26&lt;&gt;"Adelanto",OR(I26&lt;&gt;"",L26="Sí")),"Falta pedido real",IF(AND(H26&lt;&gt;"",OR(NOT(ISNUMBER(H26)),H26&lt;0)),"Revisar pedido",IF(AND(ISNUMBER(H26),H26=0,N(M26)&gt;0,N(N26)&gt;0,N(I26)=0),"Reasignar sobrante",IF(AND(ISNUMBER(H26),H26=0,OR(N26&gt;0,I26&gt;0)),"Revisar pedido y cantidades",IF(AND(ISNUMBER(H26),H26=0),"Sin pedido",IF(AND(ISNUMBER(H26),ISBLANK(I26)),"Falta anotar stock",IF(AND(I26&lt;&gt;"",OR(NOT(ISNUMBER(I26)),I26&lt;0,AND(ISNUMBER(H26),I26&gt;H26))),"Revisar stock asignado",IF(AND(ISNUMBER(I26),I26&gt;0,NOT(ISNUMBER(K26))),"Falta vencimiento de stock",IF(AND(ISNUMBER(I26),I26&gt;0,K26&lt;E26+criterio!$B$4),"El stock no cubre el uso",IF(AND(ISNUMBER(H26),ISNUMBER(I26),H26=I26,OR(N26="",N26=0)),"Cubierto con stock",IF(B26=criterio!$B$25,"Jornada bloqueada",IF(B26+S26&gt;C26,"No llega al retiro",IF(Q26&lt;E26,"Vence antes del último uso",IF(Q26&lt;E26+criterio!$B$4,"Falta margen de vida útil",IF(AND(ISBLANK(H26),L26&lt;&gt;"Adelanto",N(N26)&gt;0,N(M26)&gt;0),"Adelanto en pausa",IF(NOT(ISNUMBER(AM26)),"Previsión",IF(AND(ISNUMBER(H26),N(M26)&gt;0,N(N26)&gt;ROUND(H26-N(I26),3)),"Reasignar sobrante",IF(AND(ISNUMBER(N26),N26&gt;ROUND(AM26-N(I26),3)),"Revisar excedente",IF(AND(ISNUMBER(H26),L26&lt;&gt;"Sí",NOT(AND(N(M26)&gt;0,J26=0))),"Por confirmar",IF(J26=0,"Hecho",IF(AND(ISNUMBER(N26),N26&gt;0),"Completar","Preparar")))))))))))))))))))))))))))))))</f>
        <v>Previsión</v>
      </c>
      <c r="AC26">
        <f t="shared" si="3"/>
        <v>0</v>
      </c>
      <c r="AD26">
        <f>IF(OR(NOT(ISNUMBER(B26)),A26="",NOT(ISNUMBER(Z26)),Z26&lt;=0),0,IF(COUNTIFS($A$9:A26,A26,$B$9:B26,B26,$Z$9:Z26,"&gt;0")=1,1,0))</f>
        <v>1</v>
      </c>
      <c r="AE26">
        <f t="shared" si="4"/>
        <v>0</v>
      </c>
      <c r="AF26">
        <f t="shared" si="5"/>
        <v>0</v>
      </c>
      <c r="AG26" t="str">
        <f>IF(OR(AF26=0,AK26&lt;=0),"",IF(A26="Tsue","Retiro: ","Tanda: ")&amp;ROUND(AE26,3)&amp;" "&amp;F26&amp;". Acordar "&amp;INT(AE26/AK26)&amp;" o "&amp;ROUNDUP(AE26/AK26,0)&amp;IF(A26="Tsue"," envases de 5 L."," porciones de 500 g."))</f>
        <v/>
      </c>
      <c r="AH26">
        <f>IF(COUNTA(A26:E26,H26:I26,K26:L26,N26)=0,0,IF(OR(NOT(ISNUMBER(B26)),B26&lt;'Por semana'!$C$45,B26&gt;'Por semana'!$J$46+6),1,0))</f>
        <v>0</v>
      </c>
      <c r="AI26">
        <f t="shared" si="7"/>
        <v>17</v>
      </c>
      <c r="AJ26">
        <f t="shared" si="8"/>
        <v>1</v>
      </c>
      <c r="AK26">
        <f>IF(R26=0,0,IFERROR(INDEX(criterio!$J$11:$J$22,R26)+0,0))</f>
        <v>0</v>
      </c>
      <c r="AL26" t="str">
        <f t="shared" si="9"/>
        <v>Previsión</v>
      </c>
      <c r="AM26" t="str">
        <f t="shared" si="10"/>
        <v/>
      </c>
    </row>
    <row r="27" spans="1:39" ht="31" customHeight="1">
      <c r="A27" s="5" t="s">
        <v>37</v>
      </c>
      <c r="B27" s="19">
        <v>46358</v>
      </c>
      <c r="C27" s="19">
        <v>46386</v>
      </c>
      <c r="D27" s="19">
        <v>46388</v>
      </c>
      <c r="E27" s="19">
        <v>46402</v>
      </c>
      <c r="F27" s="4" t="str">
        <f>IF(R27=0,"",INDEX(criterio!$B$11:$B$22,R27))</f>
        <v>kg</v>
      </c>
      <c r="G27" s="23">
        <f>IFERROR(IF(INDEX(criterio!$B$31:$B$111,MATCH(W27,criterio!$A$31:$A$111,0))=A27,INDEX(criterio!$C$31:$C$111,MATCH(W27,criterio!$A$31:$A$111,0)),""),"")</f>
        <v>14</v>
      </c>
      <c r="H27" s="25"/>
      <c r="I27" s="25"/>
      <c r="J27" s="27" t="str">
        <f t="shared" si="11"/>
        <v/>
      </c>
      <c r="K27" s="20"/>
      <c r="L27" s="21"/>
      <c r="M27" s="25"/>
      <c r="N27" s="25"/>
      <c r="O27" s="6" t="str">
        <f t="shared" si="0"/>
        <v>Previsión</v>
      </c>
      <c r="P27" s="6" t="str">
        <f>IFERROR(IF(AND(INDEX(criterio!$I$31:$I$111,MATCH(W27,criterio!$A$31:$A$111,0))=1,INDEX(criterio!$B$31:$B$111,MATCH(W27,criterio!$A$31:$A$111,0))=A27,ISNUMBER(B27),B27&gt;=criterio!$B$5,D27&lt;=criterio!$B$6,E27&gt;=criterio!$B$5),"Fuera de la previa del 20/12",""),"")</f>
        <v/>
      </c>
      <c r="Q27" s="22">
        <f t="shared" si="1"/>
        <v>46448</v>
      </c>
      <c r="R27">
        <f>IFERROR(MATCH(A27,criterio!$A$11:$A$22,0),0)</f>
        <v>2</v>
      </c>
      <c r="S27">
        <f>IF(R27=0,"",INDEX(criterio!$E$11:$E$22,R27))</f>
        <v>0</v>
      </c>
      <c r="T27">
        <f>IF(R27=0,"",INDEX(criterio!$C$11:$C$22,R27))</f>
        <v>90</v>
      </c>
      <c r="U27" t="str">
        <f>IF(R27=0,"",INDEX(criterio!$D$11:$D$22,R27))</f>
        <v>días</v>
      </c>
      <c r="V27">
        <f>IF(AND(ISNUMBER(B27),B27=Turno!$B$3,OR(AL27="Preparar",AL27="Completar")),MAX($V$8:V26)+1,0)</f>
        <v>0</v>
      </c>
      <c r="W27" t="s">
        <v>62</v>
      </c>
      <c r="Y27" t="str">
        <f>IF(R27=0,"",INDEX(criterio!$I$11:$I$22,R27))</f>
        <v>Freezer −18 °C.
Abierta en heladera: 3 días, sin superar vencimiento.</v>
      </c>
      <c r="Z27">
        <f t="shared" si="2"/>
        <v>14</v>
      </c>
      <c r="AA27" t="str">
        <f>IF(OR(A27="",COUNT(B27:C27)&lt;&gt;2),"",IF(OR(WEEKDAY(B27,2)&gt;5,COUNTIF(criterio!$B$25:$E$25,B27)&gt;0),"Cambiar día de elaboración",IF(OR(WEEKDAY(C27,2)&gt;5,COUNTIF(criterio!$B$25:$E$25,C27)&gt;0),"Cambiar día de retiro",IF(SUMIF($B$9:$B$128,B27,$AD$9:$AD$128)&gt;criterio!$D$26,"Más de dos recetas",IF(OR(A27="",NOT(ISNUMBER(B27))),"",IF(OR(NOT(ISNUMBER($Q$2)),NOT(ISNUMBER($Q$3)),$Q$2&lt;=0,$Q$3&lt;=0),"Revisar topes de carga",IF(SUMIFS($Z$9:$Z$128,$B$9:$B$128,B27,$F$9:$F$128,"kg")/$Q$2+SUMIFS($Z$9:$Z$128,$B$9:$B$128,B27,$F$9:$F$128,"L")/$Q$3&gt;1.000001,"Repartir carga del día","")))))))</f>
        <v/>
      </c>
      <c r="AB27" t="str">
        <f>IF(COUNTA(A27:E27,H27:I27,K27:N27)=0,"",IF(R27=0,"Elegir producto",IF(COUNT(B27:E27)&lt;&gt;4,"Completar fechas",IF(E27&lt;D27,"Revisar días de uso",IF(C27+criterio!$B$3&gt;D27,"El retiro llega tarde",IF(AND(N27&lt;&gt;"",OR(NOT(ISNUMBER(N27)),N27&lt;0)),"Revisar cantidad hecha",IF(AND(M27&lt;&gt;"",OR(NOT(ISNUMBER(M27)),M27&lt;0)),"Revisar cant. a adelantar",IF(AND(AND(ISBLANK(H27),L27="Adelanto"),NOT(ISNUMBER(AM27))),"Cargar cant. a adelantar",IF(AND(AND(ISBLANK(H27),L27="Adelanto"),I27&lt;&gt;"",OR(NOT(ISNUMBER(I27)),I27&lt;&gt;0)),"Revisar stock del adelanto",IF(AND(ISNUMBER(N27),N27&gt;0,L27&lt;&gt;"Sí",L27&lt;&gt;"Adelanto",N(M27)&lt;=0),"Hecho sin liberar",IF(AND(ISBLANK(H27),L27&lt;&gt;"Adelanto",OR(I27&lt;&gt;"",L27="Sí")),"Falta pedido real",IF(AND(H27&lt;&gt;"",OR(NOT(ISNUMBER(H27)),H27&lt;0)),"Revisar pedido",IF(AND(ISNUMBER(H27),H27=0,N(M27)&gt;0,N(N27)&gt;0,N(I27)=0),"Reasignar sobrante",IF(AND(ISNUMBER(H27),H27=0,OR(N27&gt;0,I27&gt;0)),"Revisar pedido y cantidades",IF(AND(ISNUMBER(H27),H27=0),"Sin pedido",IF(AND(ISNUMBER(H27),ISBLANK(I27)),"Falta anotar stock",IF(AND(I27&lt;&gt;"",OR(NOT(ISNUMBER(I27)),I27&lt;0,AND(ISNUMBER(H27),I27&gt;H27))),"Revisar stock asignado",IF(AND(ISNUMBER(I27),I27&gt;0,NOT(ISNUMBER(K27))),"Falta vencimiento de stock",IF(AND(ISNUMBER(I27),I27&gt;0,K27&lt;E27+criterio!$B$4),"El stock no cubre el uso",IF(AND(ISNUMBER(H27),ISNUMBER(I27),H27=I27,OR(N27="",N27=0)),"Cubierto con stock",IF(B27=criterio!$B$25,"Jornada bloqueada",IF(B27+S27&gt;C27,"No llega al retiro",IF(Q27&lt;E27,"Vence antes del último uso",IF(Q27&lt;E27+criterio!$B$4,"Falta margen de vida útil",IF(AND(ISBLANK(H27),L27&lt;&gt;"Adelanto",N(N27)&gt;0,N(M27)&gt;0),"Adelanto en pausa",IF(NOT(ISNUMBER(AM27)),"Previsión",IF(AND(ISNUMBER(H27),N(M27)&gt;0,N(N27)&gt;ROUND(H27-N(I27),3)),"Reasignar sobrante",IF(AND(ISNUMBER(N27),N27&gt;ROUND(AM27-N(I27),3)),"Revisar excedente",IF(AND(ISNUMBER(H27),L27&lt;&gt;"Sí",NOT(AND(N(M27)&gt;0,J27=0))),"Por confirmar",IF(J27=0,"Hecho",IF(AND(ISNUMBER(N27),N27&gt;0),"Completar","Preparar")))))))))))))))))))))))))))))))</f>
        <v>Previsión</v>
      </c>
      <c r="AC27">
        <f t="shared" si="3"/>
        <v>0</v>
      </c>
      <c r="AD27">
        <f>IF(OR(NOT(ISNUMBER(B27)),A27="",NOT(ISNUMBER(Z27)),Z27&lt;=0),0,IF(COUNTIFS($A$9:A27,A27,$B$9:B27,B27,$Z$9:Z27,"&gt;0")=1,1,0))</f>
        <v>1</v>
      </c>
      <c r="AE27">
        <f t="shared" si="4"/>
        <v>0</v>
      </c>
      <c r="AF27">
        <f t="shared" si="5"/>
        <v>0</v>
      </c>
      <c r="AG27" t="str">
        <f>IF(OR(AF27=0,AK27&lt;=0),"",IF(A27="Tsue","Retiro: ","Tanda: ")&amp;ROUND(AE27,3)&amp;" "&amp;F27&amp;". Acordar "&amp;INT(AE27/AK27)&amp;" o "&amp;ROUNDUP(AE27/AK27,0)&amp;IF(A27="Tsue"," envases de 5 L."," porciones de 500 g."))</f>
        <v/>
      </c>
      <c r="AH27">
        <f>IF(COUNTA(A27:E27,H27:I27,K27:L27,N27)=0,0,IF(OR(NOT(ISNUMBER(B27)),B27&lt;'Por semana'!$C$45,B27&gt;'Por semana'!$J$46+6),1,0))</f>
        <v>0</v>
      </c>
      <c r="AI27">
        <f t="shared" si="7"/>
        <v>14</v>
      </c>
      <c r="AJ27">
        <f t="shared" si="8"/>
        <v>1</v>
      </c>
      <c r="AK27">
        <f>IF(R27=0,0,IFERROR(INDEX(criterio!$J$11:$J$22,R27)+0,0))</f>
        <v>0</v>
      </c>
      <c r="AL27" t="str">
        <f t="shared" si="9"/>
        <v>Previsión</v>
      </c>
      <c r="AM27" t="str">
        <f t="shared" si="10"/>
        <v/>
      </c>
    </row>
    <row r="28" spans="1:39" ht="31" customHeight="1">
      <c r="A28" s="5" t="s">
        <v>51</v>
      </c>
      <c r="B28" s="19">
        <v>46359</v>
      </c>
      <c r="C28" s="19">
        <v>46371</v>
      </c>
      <c r="D28" s="19">
        <v>46372</v>
      </c>
      <c r="E28" s="19">
        <v>46387</v>
      </c>
      <c r="F28" s="4" t="str">
        <f>IF(R28=0,"",INDEX(criterio!$B$11:$B$22,R28))</f>
        <v>L</v>
      </c>
      <c r="G28" s="24">
        <f>IFERROR(IF(INDEX(criterio!$B$31:$B$111,MATCH(W28,criterio!$A$31:$A$111,0))=A28,INDEX(criterio!$C$31:$C$111,MATCH(W28,criterio!$A$31:$A$111,0)),""),"")</f>
        <v>5</v>
      </c>
      <c r="H28" s="26"/>
      <c r="I28" s="26"/>
      <c r="J28" s="28" t="str">
        <f t="shared" si="11"/>
        <v/>
      </c>
      <c r="K28" s="20"/>
      <c r="L28" s="21"/>
      <c r="M28" s="26"/>
      <c r="N28" s="26"/>
      <c r="O28" s="6" t="str">
        <f t="shared" si="0"/>
        <v>Previsión</v>
      </c>
      <c r="P28" s="6" t="str">
        <f>IFERROR(IF(AND(INDEX(criterio!$I$31:$I$111,MATCH(W28,criterio!$A$31:$A$111,0))=1,INDEX(criterio!$B$31:$B$111,MATCH(W28,criterio!$A$31:$A$111,0))=A28,ISNUMBER(B28),B28&gt;=criterio!$B$5,D28&lt;=criterio!$B$6,E28&gt;=criterio!$B$5),"Fuera de la previa del 20/12",""),"")</f>
        <v/>
      </c>
      <c r="Q28" s="22">
        <f t="shared" si="1"/>
        <v>46390</v>
      </c>
      <c r="R28">
        <f>IFERROR(MATCH(A28,criterio!$A$11:$A$22,0),0)</f>
        <v>10</v>
      </c>
      <c r="S28">
        <f>IF(R28=0,"",INDEX(criterio!$E$11:$E$22,R28))</f>
        <v>0</v>
      </c>
      <c r="T28">
        <f>IF(R28=0,"",INDEX(criterio!$C$11:$C$22,R28))</f>
        <v>1</v>
      </c>
      <c r="U28" t="str">
        <f>IF(R28=0,"",INDEX(criterio!$D$11:$D$22,R28))</f>
        <v>mes</v>
      </c>
      <c r="V28">
        <f>IF(AND(ISNUMBER(B28),B28=Turno!$B$3,OR(AL28="Preparar",AL28="Completar")),MAX($V$8:V27)+1,0)</f>
        <v>0</v>
      </c>
      <c r="W28" t="s">
        <v>63</v>
      </c>
      <c r="Y28" t="str">
        <f>IF(R28=0,"",INDEX(criterio!$I$11:$I$22,R28))</f>
        <v>Heladera 0–5 °C.</v>
      </c>
      <c r="Z28">
        <f t="shared" si="2"/>
        <v>5</v>
      </c>
      <c r="AA28" t="str">
        <f>IF(OR(A28="",COUNT(B28:C28)&lt;&gt;2),"",IF(OR(WEEKDAY(B28,2)&gt;5,COUNTIF(criterio!$B$25:$E$25,B28)&gt;0),"Cambiar día de elaboración",IF(OR(WEEKDAY(C28,2)&gt;5,COUNTIF(criterio!$B$25:$E$25,C28)&gt;0),"Cambiar día de retiro",IF(SUMIF($B$9:$B$128,B28,$AD$9:$AD$128)&gt;criterio!$D$26,"Más de dos recetas",IF(OR(A28="",NOT(ISNUMBER(B28))),"",IF(OR(NOT(ISNUMBER($Q$2)),NOT(ISNUMBER($Q$3)),$Q$2&lt;=0,$Q$3&lt;=0),"Revisar topes de carga",IF(SUMIFS($Z$9:$Z$128,$B$9:$B$128,B28,$F$9:$F$128,"kg")/$Q$2+SUMIFS($Z$9:$Z$128,$B$9:$B$128,B28,$F$9:$F$128,"L")/$Q$3&gt;1.000001,"Repartir carga del día","")))))))</f>
        <v/>
      </c>
      <c r="AB28" t="str">
        <f>IF(COUNTA(A28:E28,H28:I28,K28:N28)=0,"",IF(R28=0,"Elegir producto",IF(COUNT(B28:E28)&lt;&gt;4,"Completar fechas",IF(E28&lt;D28,"Revisar días de uso",IF(C28+criterio!$B$3&gt;D28,"El retiro llega tarde",IF(AND(N28&lt;&gt;"",OR(NOT(ISNUMBER(N28)),N28&lt;0)),"Revisar cantidad hecha",IF(AND(M28&lt;&gt;"",OR(NOT(ISNUMBER(M28)),M28&lt;0)),"Revisar cant. a adelantar",IF(AND(AND(ISBLANK(H28),L28="Adelanto"),NOT(ISNUMBER(AM28))),"Cargar cant. a adelantar",IF(AND(AND(ISBLANK(H28),L28="Adelanto"),I28&lt;&gt;"",OR(NOT(ISNUMBER(I28)),I28&lt;&gt;0)),"Revisar stock del adelanto",IF(AND(ISNUMBER(N28),N28&gt;0,L28&lt;&gt;"Sí",L28&lt;&gt;"Adelanto",N(M28)&lt;=0),"Hecho sin liberar",IF(AND(ISBLANK(H28),L28&lt;&gt;"Adelanto",OR(I28&lt;&gt;"",L28="Sí")),"Falta pedido real",IF(AND(H28&lt;&gt;"",OR(NOT(ISNUMBER(H28)),H28&lt;0)),"Revisar pedido",IF(AND(ISNUMBER(H28),H28=0,N(M28)&gt;0,N(N28)&gt;0,N(I28)=0),"Reasignar sobrante",IF(AND(ISNUMBER(H28),H28=0,OR(N28&gt;0,I28&gt;0)),"Revisar pedido y cantidades",IF(AND(ISNUMBER(H28),H28=0),"Sin pedido",IF(AND(ISNUMBER(H28),ISBLANK(I28)),"Falta anotar stock",IF(AND(I28&lt;&gt;"",OR(NOT(ISNUMBER(I28)),I28&lt;0,AND(ISNUMBER(H28),I28&gt;H28))),"Revisar stock asignado",IF(AND(ISNUMBER(I28),I28&gt;0,NOT(ISNUMBER(K28))),"Falta vencimiento de stock",IF(AND(ISNUMBER(I28),I28&gt;0,K28&lt;E28+criterio!$B$4),"El stock no cubre el uso",IF(AND(ISNUMBER(H28),ISNUMBER(I28),H28=I28,OR(N28="",N28=0)),"Cubierto con stock",IF(B28=criterio!$B$25,"Jornada bloqueada",IF(B28+S28&gt;C28,"No llega al retiro",IF(Q28&lt;E28,"Vence antes del último uso",IF(Q28&lt;E28+criterio!$B$4,"Falta margen de vida útil",IF(AND(ISBLANK(H28),L28&lt;&gt;"Adelanto",N(N28)&gt;0,N(M28)&gt;0),"Adelanto en pausa",IF(NOT(ISNUMBER(AM28)),"Previsión",IF(AND(ISNUMBER(H28),N(M28)&gt;0,N(N28)&gt;ROUND(H28-N(I28),3)),"Reasignar sobrante",IF(AND(ISNUMBER(N28),N28&gt;ROUND(AM28-N(I28),3)),"Revisar excedente",IF(AND(ISNUMBER(H28),L28&lt;&gt;"Sí",NOT(AND(N(M28)&gt;0,J28=0))),"Por confirmar",IF(J28=0,"Hecho",IF(AND(ISNUMBER(N28),N28&gt;0),"Completar","Preparar")))))))))))))))))))))))))))))))</f>
        <v>Previsión</v>
      </c>
      <c r="AC28">
        <f t="shared" si="3"/>
        <v>0</v>
      </c>
      <c r="AD28">
        <f>IF(OR(NOT(ISNUMBER(B28)),A28="",NOT(ISNUMBER(Z28)),Z28&lt;=0),0,IF(COUNTIFS($A$9:A28,A28,$B$9:B28,B28,$Z$9:Z28,"&gt;0")=1,1,0))</f>
        <v>1</v>
      </c>
      <c r="AE28">
        <f t="shared" si="4"/>
        <v>0</v>
      </c>
      <c r="AF28">
        <f t="shared" si="5"/>
        <v>0</v>
      </c>
      <c r="AG28" t="str">
        <f>IF(OR(AF28=0,AK28&lt;=0),"",IF(A28="Tsue","Retiro: ","Tanda: ")&amp;ROUND(AE28,3)&amp;" "&amp;F28&amp;". Acordar "&amp;INT(AE28/AK28)&amp;" o "&amp;ROUNDUP(AE28/AK28,0)&amp;IF(A28="Tsue"," envases de 5 L."," porciones de 500 g."))</f>
        <v/>
      </c>
      <c r="AH28">
        <f>IF(COUNTA(A28:E28,H28:I28,K28:L28,N28)=0,0,IF(OR(NOT(ISNUMBER(B28)),B28&lt;'Por semana'!$C$45,B28&gt;'Por semana'!$J$46+6),1,0))</f>
        <v>0</v>
      </c>
      <c r="AI28">
        <f t="shared" si="7"/>
        <v>5</v>
      </c>
      <c r="AJ28">
        <f t="shared" si="8"/>
        <v>1</v>
      </c>
      <c r="AK28">
        <f>IF(R28=0,0,IFERROR(INDEX(criterio!$J$11:$J$22,R28)+0,0))</f>
        <v>0</v>
      </c>
      <c r="AL28" t="str">
        <f t="shared" si="9"/>
        <v>Previsión</v>
      </c>
      <c r="AM28" t="str">
        <f t="shared" si="10"/>
        <v/>
      </c>
    </row>
    <row r="29" spans="1:39" ht="31" customHeight="1">
      <c r="A29" s="5" t="s">
        <v>40</v>
      </c>
      <c r="B29" s="19">
        <v>46359</v>
      </c>
      <c r="C29" s="19">
        <v>46379</v>
      </c>
      <c r="D29" s="19">
        <v>46380</v>
      </c>
      <c r="E29" s="19">
        <v>46387</v>
      </c>
      <c r="F29" s="4" t="str">
        <f>IF(R29=0,"",INDEX(criterio!$B$11:$B$22,R29))</f>
        <v>L</v>
      </c>
      <c r="G29" s="24">
        <f>IFERROR(IF(INDEX(criterio!$B$31:$B$111,MATCH(W29,criterio!$A$31:$A$111,0))=A29,INDEX(criterio!$C$31:$C$111,MATCH(W29,criterio!$A$31:$A$111,0)),""),"")</f>
        <v>28</v>
      </c>
      <c r="H29" s="26"/>
      <c r="I29" s="26"/>
      <c r="J29" s="28" t="str">
        <f t="shared" si="11"/>
        <v/>
      </c>
      <c r="K29" s="20"/>
      <c r="L29" s="21"/>
      <c r="M29" s="26"/>
      <c r="N29" s="26"/>
      <c r="O29" s="6" t="str">
        <f t="shared" si="0"/>
        <v>Previsión</v>
      </c>
      <c r="P29" s="6" t="str">
        <f>IFERROR(IF(AND(INDEX(criterio!$I$31:$I$111,MATCH(W29,criterio!$A$31:$A$111,0))=1,INDEX(criterio!$B$31:$B$111,MATCH(W29,criterio!$A$31:$A$111,0))=A29,ISNUMBER(B29),B29&gt;=criterio!$B$5,D29&lt;=criterio!$B$6,E29&gt;=criterio!$B$5),"Fuera de la previa del 20/12",""),"")</f>
        <v/>
      </c>
      <c r="Q29" s="22">
        <f t="shared" si="1"/>
        <v>46390</v>
      </c>
      <c r="R29">
        <f>IFERROR(MATCH(A29,criterio!$A$11:$A$22,0),0)</f>
        <v>8</v>
      </c>
      <c r="S29">
        <f>IF(R29=0,"",INDEX(criterio!$E$11:$E$22,R29))</f>
        <v>0</v>
      </c>
      <c r="T29">
        <f>IF(R29=0,"",INDEX(criterio!$C$11:$C$22,R29))</f>
        <v>1</v>
      </c>
      <c r="U29" t="str">
        <f>IF(R29=0,"",INDEX(criterio!$D$11:$D$22,R29))</f>
        <v>mes</v>
      </c>
      <c r="V29">
        <f>IF(AND(ISNUMBER(B29),B29=Turno!$B$3,OR(AL29="Preparar",AL29="Completar")),MAX($V$8:V28)+1,0)</f>
        <v>0</v>
      </c>
      <c r="W29" t="s">
        <v>64</v>
      </c>
      <c r="Y29" t="str">
        <f>IF(R29=0,"",INDEX(criterio!$I$11:$I$22,R29))</f>
        <v>Lugar fresco y seco, 15–30 °C.
Proteger de luz y calor.</v>
      </c>
      <c r="Z29">
        <f t="shared" si="2"/>
        <v>28</v>
      </c>
      <c r="AA29" t="str">
        <f>IF(OR(A29="",COUNT(B29:C29)&lt;&gt;2),"",IF(OR(WEEKDAY(B29,2)&gt;5,COUNTIF(criterio!$B$25:$E$25,B29)&gt;0),"Cambiar día de elaboración",IF(OR(WEEKDAY(C29,2)&gt;5,COUNTIF(criterio!$B$25:$E$25,C29)&gt;0),"Cambiar día de retiro",IF(SUMIF($B$9:$B$128,B29,$AD$9:$AD$128)&gt;criterio!$D$26,"Más de dos recetas",IF(OR(A29="",NOT(ISNUMBER(B29))),"",IF(OR(NOT(ISNUMBER($Q$2)),NOT(ISNUMBER($Q$3)),$Q$2&lt;=0,$Q$3&lt;=0),"Revisar topes de carga",IF(SUMIFS($Z$9:$Z$128,$B$9:$B$128,B29,$F$9:$F$128,"kg")/$Q$2+SUMIFS($Z$9:$Z$128,$B$9:$B$128,B29,$F$9:$F$128,"L")/$Q$3&gt;1.000001,"Repartir carga del día","")))))))</f>
        <v/>
      </c>
      <c r="AB29" t="str">
        <f>IF(COUNTA(A29:E29,H29:I29,K29:N29)=0,"",IF(R29=0,"Elegir producto",IF(COUNT(B29:E29)&lt;&gt;4,"Completar fechas",IF(E29&lt;D29,"Revisar días de uso",IF(C29+criterio!$B$3&gt;D29,"El retiro llega tarde",IF(AND(N29&lt;&gt;"",OR(NOT(ISNUMBER(N29)),N29&lt;0)),"Revisar cantidad hecha",IF(AND(M29&lt;&gt;"",OR(NOT(ISNUMBER(M29)),M29&lt;0)),"Revisar cant. a adelantar",IF(AND(AND(ISBLANK(H29),L29="Adelanto"),NOT(ISNUMBER(AM29))),"Cargar cant. a adelantar",IF(AND(AND(ISBLANK(H29),L29="Adelanto"),I29&lt;&gt;"",OR(NOT(ISNUMBER(I29)),I29&lt;&gt;0)),"Revisar stock del adelanto",IF(AND(ISNUMBER(N29),N29&gt;0,L29&lt;&gt;"Sí",L29&lt;&gt;"Adelanto",N(M29)&lt;=0),"Hecho sin liberar",IF(AND(ISBLANK(H29),L29&lt;&gt;"Adelanto",OR(I29&lt;&gt;"",L29="Sí")),"Falta pedido real",IF(AND(H29&lt;&gt;"",OR(NOT(ISNUMBER(H29)),H29&lt;0)),"Revisar pedido",IF(AND(ISNUMBER(H29),H29=0,N(M29)&gt;0,N(N29)&gt;0,N(I29)=0),"Reasignar sobrante",IF(AND(ISNUMBER(H29),H29=0,OR(N29&gt;0,I29&gt;0)),"Revisar pedido y cantidades",IF(AND(ISNUMBER(H29),H29=0),"Sin pedido",IF(AND(ISNUMBER(H29),ISBLANK(I29)),"Falta anotar stock",IF(AND(I29&lt;&gt;"",OR(NOT(ISNUMBER(I29)),I29&lt;0,AND(ISNUMBER(H29),I29&gt;H29))),"Revisar stock asignado",IF(AND(ISNUMBER(I29),I29&gt;0,NOT(ISNUMBER(K29))),"Falta vencimiento de stock",IF(AND(ISNUMBER(I29),I29&gt;0,K29&lt;E29+criterio!$B$4),"El stock no cubre el uso",IF(AND(ISNUMBER(H29),ISNUMBER(I29),H29=I29,OR(N29="",N29=0)),"Cubierto con stock",IF(B29=criterio!$B$25,"Jornada bloqueada",IF(B29+S29&gt;C29,"No llega al retiro",IF(Q29&lt;E29,"Vence antes del último uso",IF(Q29&lt;E29+criterio!$B$4,"Falta margen de vida útil",IF(AND(ISBLANK(H29),L29&lt;&gt;"Adelanto",N(N29)&gt;0,N(M29)&gt;0),"Adelanto en pausa",IF(NOT(ISNUMBER(AM29)),"Previsión",IF(AND(ISNUMBER(H29),N(M29)&gt;0,N(N29)&gt;ROUND(H29-N(I29),3)),"Reasignar sobrante",IF(AND(ISNUMBER(N29),N29&gt;ROUND(AM29-N(I29),3)),"Revisar excedente",IF(AND(ISNUMBER(H29),L29&lt;&gt;"Sí",NOT(AND(N(M29)&gt;0,J29=0))),"Por confirmar",IF(J29=0,"Hecho",IF(AND(ISNUMBER(N29),N29&gt;0),"Completar","Preparar")))))))))))))))))))))))))))))))</f>
        <v>Previsión</v>
      </c>
      <c r="AC29">
        <f t="shared" si="3"/>
        <v>0</v>
      </c>
      <c r="AD29">
        <f>IF(OR(NOT(ISNUMBER(B29)),A29="",NOT(ISNUMBER(Z29)),Z29&lt;=0),0,IF(COUNTIFS($A$9:A29,A29,$B$9:B29,B29,$Z$9:Z29,"&gt;0")=1,1,0))</f>
        <v>1</v>
      </c>
      <c r="AE29">
        <f t="shared" si="4"/>
        <v>0</v>
      </c>
      <c r="AF29">
        <f t="shared" si="5"/>
        <v>0</v>
      </c>
      <c r="AG29" t="str">
        <f>IF(OR(AF29=0,AK29&lt;=0),"",IF(A29="Tsue","Retiro: ","Tanda: ")&amp;ROUND(AE29,3)&amp;" "&amp;F29&amp;". Acordar "&amp;INT(AE29/AK29)&amp;" o "&amp;ROUNDUP(AE29/AK29,0)&amp;IF(A29="Tsue"," envases de 5 L."," porciones de 500 g."))</f>
        <v/>
      </c>
      <c r="AH29">
        <f>IF(COUNTA(A29:E29,H29:I29,K29:L29,N29)=0,0,IF(OR(NOT(ISNUMBER(B29)),B29&lt;'Por semana'!$C$45,B29&gt;'Por semana'!$J$46+6),1,0))</f>
        <v>0</v>
      </c>
      <c r="AI29">
        <f t="shared" si="7"/>
        <v>28</v>
      </c>
      <c r="AJ29">
        <f t="shared" si="8"/>
        <v>1</v>
      </c>
      <c r="AK29">
        <f>IF(R29=0,0,IFERROR(INDEX(criterio!$J$11:$J$22,R29)+0,0))</f>
        <v>5</v>
      </c>
      <c r="AL29" t="str">
        <f t="shared" si="9"/>
        <v>Previsión</v>
      </c>
      <c r="AM29" t="str">
        <f t="shared" si="10"/>
        <v/>
      </c>
    </row>
    <row r="30" spans="1:39" ht="31" customHeight="1">
      <c r="A30" s="5" t="s">
        <v>65</v>
      </c>
      <c r="B30" s="19">
        <v>46360</v>
      </c>
      <c r="C30" s="19">
        <v>46371</v>
      </c>
      <c r="D30" s="19">
        <v>46372</v>
      </c>
      <c r="E30" s="19">
        <v>46387</v>
      </c>
      <c r="F30" s="4" t="str">
        <f>IF(R30=0,"",INDEX(criterio!$B$11:$B$22,R30))</f>
        <v>kg</v>
      </c>
      <c r="G30" s="23">
        <f>IFERROR(IF(INDEX(criterio!$B$31:$B$111,MATCH(W30,criterio!$A$31:$A$111,0))=A30,INDEX(criterio!$C$31:$C$111,MATCH(W30,criterio!$A$31:$A$111,0)),""),"")</f>
        <v>24</v>
      </c>
      <c r="H30" s="25"/>
      <c r="I30" s="25"/>
      <c r="J30" s="27" t="str">
        <f t="shared" si="11"/>
        <v/>
      </c>
      <c r="K30" s="20"/>
      <c r="L30" s="21"/>
      <c r="M30" s="25"/>
      <c r="N30" s="25"/>
      <c r="O30" s="6" t="str">
        <f t="shared" si="0"/>
        <v>Previsión</v>
      </c>
      <c r="P30" s="6" t="str">
        <f>IFERROR(IF(AND(INDEX(criterio!$I$31:$I$111,MATCH(W30,criterio!$A$31:$A$111,0))=1,INDEX(criterio!$B$31:$B$111,MATCH(W30,criterio!$A$31:$A$111,0))=A30,ISNUMBER(B30),B30&gt;=criterio!$B$5,D30&lt;=criterio!$B$6,E30&gt;=criterio!$B$5),"Fuera de la previa del 20/12",""),"")</f>
        <v/>
      </c>
      <c r="Q30" s="22">
        <f t="shared" si="1"/>
        <v>46390</v>
      </c>
      <c r="R30">
        <f>IFERROR(MATCH(A30,criterio!$A$11:$A$22,0),0)</f>
        <v>7</v>
      </c>
      <c r="S30">
        <f>IF(R30=0,"",INDEX(criterio!$E$11:$E$22,R30))</f>
        <v>1</v>
      </c>
      <c r="T30">
        <f>IF(R30=0,"",INDEX(criterio!$C$11:$C$22,R30))</f>
        <v>30</v>
      </c>
      <c r="U30" t="str">
        <f>IF(R30=0,"",INDEX(criterio!$D$11:$D$22,R30))</f>
        <v>días</v>
      </c>
      <c r="V30">
        <f>IF(AND(ISNUMBER(B30),B30=Turno!$B$3,OR(AL30="Preparar",AL30="Completar")),MAX($V$8:V29)+1,0)</f>
        <v>0</v>
      </c>
      <c r="W30" t="s">
        <v>66</v>
      </c>
      <c r="Y30" t="str">
        <f>IF(R30=0,"",INDEX(criterio!$I$11:$I$22,R30))</f>
        <v>Heladera 0–5 °C. Marinar 24 h.
Abierto: 7 días, sin superar vencimiento.</v>
      </c>
      <c r="Z30">
        <f t="shared" si="2"/>
        <v>24</v>
      </c>
      <c r="AA30" t="str">
        <f>IF(OR(A30="",COUNT(B30:C30)&lt;&gt;2),"",IF(OR(WEEKDAY(B30,2)&gt;5,COUNTIF(criterio!$B$25:$E$25,B30)&gt;0),"Cambiar día de elaboración",IF(OR(WEEKDAY(C30,2)&gt;5,COUNTIF(criterio!$B$25:$E$25,C30)&gt;0),"Cambiar día de retiro",IF(SUMIF($B$9:$B$128,B30,$AD$9:$AD$128)&gt;criterio!$D$26,"Más de dos recetas",IF(OR(A30="",NOT(ISNUMBER(B30))),"",IF(OR(NOT(ISNUMBER($Q$2)),NOT(ISNUMBER($Q$3)),$Q$2&lt;=0,$Q$3&lt;=0),"Revisar topes de carga",IF(SUMIFS($Z$9:$Z$128,$B$9:$B$128,B30,$F$9:$F$128,"kg")/$Q$2+SUMIFS($Z$9:$Z$128,$B$9:$B$128,B30,$F$9:$F$128,"L")/$Q$3&gt;1.000001,"Repartir carga del día","")))))))</f>
        <v/>
      </c>
      <c r="AB30" t="str">
        <f>IF(COUNTA(A30:E30,H30:I30,K30:N30)=0,"",IF(R30=0,"Elegir producto",IF(COUNT(B30:E30)&lt;&gt;4,"Completar fechas",IF(E30&lt;D30,"Revisar días de uso",IF(C30+criterio!$B$3&gt;D30,"El retiro llega tarde",IF(AND(N30&lt;&gt;"",OR(NOT(ISNUMBER(N30)),N30&lt;0)),"Revisar cantidad hecha",IF(AND(M30&lt;&gt;"",OR(NOT(ISNUMBER(M30)),M30&lt;0)),"Revisar cant. a adelantar",IF(AND(AND(ISBLANK(H30),L30="Adelanto"),NOT(ISNUMBER(AM30))),"Cargar cant. a adelantar",IF(AND(AND(ISBLANK(H30),L30="Adelanto"),I30&lt;&gt;"",OR(NOT(ISNUMBER(I30)),I30&lt;&gt;0)),"Revisar stock del adelanto",IF(AND(ISNUMBER(N30),N30&gt;0,L30&lt;&gt;"Sí",L30&lt;&gt;"Adelanto",N(M30)&lt;=0),"Hecho sin liberar",IF(AND(ISBLANK(H30),L30&lt;&gt;"Adelanto",OR(I30&lt;&gt;"",L30="Sí")),"Falta pedido real",IF(AND(H30&lt;&gt;"",OR(NOT(ISNUMBER(H30)),H30&lt;0)),"Revisar pedido",IF(AND(ISNUMBER(H30),H30=0,N(M30)&gt;0,N(N30)&gt;0,N(I30)=0),"Reasignar sobrante",IF(AND(ISNUMBER(H30),H30=0,OR(N30&gt;0,I30&gt;0)),"Revisar pedido y cantidades",IF(AND(ISNUMBER(H30),H30=0),"Sin pedido",IF(AND(ISNUMBER(H30),ISBLANK(I30)),"Falta anotar stock",IF(AND(I30&lt;&gt;"",OR(NOT(ISNUMBER(I30)),I30&lt;0,AND(ISNUMBER(H30),I30&gt;H30))),"Revisar stock asignado",IF(AND(ISNUMBER(I30),I30&gt;0,NOT(ISNUMBER(K30))),"Falta vencimiento de stock",IF(AND(ISNUMBER(I30),I30&gt;0,K30&lt;E30+criterio!$B$4),"El stock no cubre el uso",IF(AND(ISNUMBER(H30),ISNUMBER(I30),H30=I30,OR(N30="",N30=0)),"Cubierto con stock",IF(B30=criterio!$B$25,"Jornada bloqueada",IF(B30+S30&gt;C30,"No llega al retiro",IF(Q30&lt;E30,"Vence antes del último uso",IF(Q30&lt;E30+criterio!$B$4,"Falta margen de vida útil",IF(AND(ISBLANK(H30),L30&lt;&gt;"Adelanto",N(N30)&gt;0,N(M30)&gt;0),"Adelanto en pausa",IF(NOT(ISNUMBER(AM30)),"Previsión",IF(AND(ISNUMBER(H30),N(M30)&gt;0,N(N30)&gt;ROUND(H30-N(I30),3)),"Reasignar sobrante",IF(AND(ISNUMBER(N30),N30&gt;ROUND(AM30-N(I30),3)),"Revisar excedente",IF(AND(ISNUMBER(H30),L30&lt;&gt;"Sí",NOT(AND(N(M30)&gt;0,J30=0))),"Por confirmar",IF(J30=0,"Hecho",IF(AND(ISNUMBER(N30),N30&gt;0),"Completar","Preparar")))))))))))))))))))))))))))))))</f>
        <v>Previsión</v>
      </c>
      <c r="AC30">
        <f t="shared" si="3"/>
        <v>0</v>
      </c>
      <c r="AD30">
        <f>IF(OR(NOT(ISNUMBER(B30)),A30="",NOT(ISNUMBER(Z30)),Z30&lt;=0),0,IF(COUNTIFS($A$9:A30,A30,$B$9:B30,B30,$Z$9:Z30,"&gt;0")=1,1,0))</f>
        <v>1</v>
      </c>
      <c r="AE30">
        <f t="shared" si="4"/>
        <v>0</v>
      </c>
      <c r="AF30">
        <f t="shared" si="5"/>
        <v>0</v>
      </c>
      <c r="AG30" t="str">
        <f>IF(OR(AF30=0,AK30&lt;=0),"",IF(A30="Tsue","Retiro: ","Tanda: ")&amp;ROUND(AE30,3)&amp;" "&amp;F30&amp;". Acordar "&amp;INT(AE30/AK30)&amp;" o "&amp;ROUNDUP(AE30/AK30,0)&amp;IF(A30="Tsue"," envases de 5 L."," porciones de 500 g."))</f>
        <v/>
      </c>
      <c r="AH30">
        <f>IF(COUNTA(A30:E30,H30:I30,K30:L30,N30)=0,0,IF(OR(NOT(ISNUMBER(B30)),B30&lt;'Por semana'!$C$45,B30&gt;'Por semana'!$J$46+6),1,0))</f>
        <v>0</v>
      </c>
      <c r="AI30">
        <f t="shared" si="7"/>
        <v>24</v>
      </c>
      <c r="AJ30">
        <f t="shared" si="8"/>
        <v>1</v>
      </c>
      <c r="AK30">
        <f>IF(R30=0,0,IFERROR(INDEX(criterio!$J$11:$J$22,R30)+0,0))</f>
        <v>0</v>
      </c>
      <c r="AL30" t="str">
        <f t="shared" si="9"/>
        <v>Previsión</v>
      </c>
      <c r="AM30" t="str">
        <f t="shared" si="10"/>
        <v/>
      </c>
    </row>
    <row r="31" spans="1:39" ht="31" customHeight="1">
      <c r="A31" s="5" t="s">
        <v>34</v>
      </c>
      <c r="B31" s="19">
        <v>46363</v>
      </c>
      <c r="C31" s="19">
        <v>46402</v>
      </c>
      <c r="D31" s="19">
        <v>46403</v>
      </c>
      <c r="E31" s="19">
        <v>46418</v>
      </c>
      <c r="F31" s="4" t="str">
        <f>IF(R31=0,"",INDEX(criterio!$B$11:$B$22,R31))</f>
        <v>kg</v>
      </c>
      <c r="G31" s="23">
        <f>IFERROR(IF(INDEX(criterio!$B$31:$B$111,MATCH(W31,criterio!$A$31:$A$111,0))=A31,INDEX(criterio!$C$31:$C$111,MATCH(W31,criterio!$A$31:$A$111,0)),""),"")</f>
        <v>14</v>
      </c>
      <c r="H31" s="25"/>
      <c r="I31" s="25"/>
      <c r="J31" s="27" t="str">
        <f t="shared" si="11"/>
        <v/>
      </c>
      <c r="K31" s="20"/>
      <c r="L31" s="21"/>
      <c r="M31" s="25"/>
      <c r="N31" s="25"/>
      <c r="O31" s="6" t="str">
        <f t="shared" si="0"/>
        <v>Previsión</v>
      </c>
      <c r="P31" s="6" t="str">
        <f>IFERROR(IF(AND(INDEX(criterio!$I$31:$I$111,MATCH(W31,criterio!$A$31:$A$111,0))=1,INDEX(criterio!$B$31:$B$111,MATCH(W31,criterio!$A$31:$A$111,0))=A31,ISNUMBER(B31),B31&gt;=criterio!$B$5,D31&lt;=criterio!$B$6,E31&gt;=criterio!$B$5),"Fuera de la previa del 20/12",""),"")</f>
        <v/>
      </c>
      <c r="Q31" s="22">
        <f t="shared" si="1"/>
        <v>46453</v>
      </c>
      <c r="R31">
        <f>IFERROR(MATCH(A31,criterio!$A$11:$A$22,0),0)</f>
        <v>1</v>
      </c>
      <c r="S31">
        <f>IF(R31=0,"",INDEX(criterio!$E$11:$E$22,R31))</f>
        <v>0</v>
      </c>
      <c r="T31">
        <f>IF(R31=0,"",INDEX(criterio!$C$11:$C$22,R31))</f>
        <v>90</v>
      </c>
      <c r="U31" t="str">
        <f>IF(R31=0,"",INDEX(criterio!$D$11:$D$22,R31))</f>
        <v>días</v>
      </c>
      <c r="V31">
        <f>IF(AND(ISNUMBER(B31),B31=Turno!$B$3,OR(AL31="Preparar",AL31="Completar")),MAX($V$8:V30)+1,0)</f>
        <v>0</v>
      </c>
      <c r="W31" t="s">
        <v>67</v>
      </c>
      <c r="Y31" t="str">
        <f>IF(R31=0,"",INDEX(criterio!$I$11:$I$22,R31))</f>
        <v>Freezer −18 °C.
Abierta en heladera: 3 días, sin superar vencimiento.</v>
      </c>
      <c r="Z31">
        <f t="shared" si="2"/>
        <v>14</v>
      </c>
      <c r="AA31" t="str">
        <f>IF(OR(A31="",COUNT(B31:C31)&lt;&gt;2),"",IF(OR(WEEKDAY(B31,2)&gt;5,COUNTIF(criterio!$B$25:$E$25,B31)&gt;0),"Cambiar día de elaboración",IF(OR(WEEKDAY(C31,2)&gt;5,COUNTIF(criterio!$B$25:$E$25,C31)&gt;0),"Cambiar día de retiro",IF(SUMIF($B$9:$B$128,B31,$AD$9:$AD$128)&gt;criterio!$D$26,"Más de dos recetas",IF(OR(A31="",NOT(ISNUMBER(B31))),"",IF(OR(NOT(ISNUMBER($Q$2)),NOT(ISNUMBER($Q$3)),$Q$2&lt;=0,$Q$3&lt;=0),"Revisar topes de carga",IF(SUMIFS($Z$9:$Z$128,$B$9:$B$128,B31,$F$9:$F$128,"kg")/$Q$2+SUMIFS($Z$9:$Z$128,$B$9:$B$128,B31,$F$9:$F$128,"L")/$Q$3&gt;1.000001,"Repartir carga del día","")))))))</f>
        <v/>
      </c>
      <c r="AB31" t="str">
        <f>IF(COUNTA(A31:E31,H31:I31,K31:N31)=0,"",IF(R31=0,"Elegir producto",IF(COUNT(B31:E31)&lt;&gt;4,"Completar fechas",IF(E31&lt;D31,"Revisar días de uso",IF(C31+criterio!$B$3&gt;D31,"El retiro llega tarde",IF(AND(N31&lt;&gt;"",OR(NOT(ISNUMBER(N31)),N31&lt;0)),"Revisar cantidad hecha",IF(AND(M31&lt;&gt;"",OR(NOT(ISNUMBER(M31)),M31&lt;0)),"Revisar cant. a adelantar",IF(AND(AND(ISBLANK(H31),L31="Adelanto"),NOT(ISNUMBER(AM31))),"Cargar cant. a adelantar",IF(AND(AND(ISBLANK(H31),L31="Adelanto"),I31&lt;&gt;"",OR(NOT(ISNUMBER(I31)),I31&lt;&gt;0)),"Revisar stock del adelanto",IF(AND(ISNUMBER(N31),N31&gt;0,L31&lt;&gt;"Sí",L31&lt;&gt;"Adelanto",N(M31)&lt;=0),"Hecho sin liberar",IF(AND(ISBLANK(H31),L31&lt;&gt;"Adelanto",OR(I31&lt;&gt;"",L31="Sí")),"Falta pedido real",IF(AND(H31&lt;&gt;"",OR(NOT(ISNUMBER(H31)),H31&lt;0)),"Revisar pedido",IF(AND(ISNUMBER(H31),H31=0,N(M31)&gt;0,N(N31)&gt;0,N(I31)=0),"Reasignar sobrante",IF(AND(ISNUMBER(H31),H31=0,OR(N31&gt;0,I31&gt;0)),"Revisar pedido y cantidades",IF(AND(ISNUMBER(H31),H31=0),"Sin pedido",IF(AND(ISNUMBER(H31),ISBLANK(I31)),"Falta anotar stock",IF(AND(I31&lt;&gt;"",OR(NOT(ISNUMBER(I31)),I31&lt;0,AND(ISNUMBER(H31),I31&gt;H31))),"Revisar stock asignado",IF(AND(ISNUMBER(I31),I31&gt;0,NOT(ISNUMBER(K31))),"Falta vencimiento de stock",IF(AND(ISNUMBER(I31),I31&gt;0,K31&lt;E31+criterio!$B$4),"El stock no cubre el uso",IF(AND(ISNUMBER(H31),ISNUMBER(I31),H31=I31,OR(N31="",N31=0)),"Cubierto con stock",IF(B31=criterio!$B$25,"Jornada bloqueada",IF(B31+S31&gt;C31,"No llega al retiro",IF(Q31&lt;E31,"Vence antes del último uso",IF(Q31&lt;E31+criterio!$B$4,"Falta margen de vida útil",IF(AND(ISBLANK(H31),L31&lt;&gt;"Adelanto",N(N31)&gt;0,N(M31)&gt;0),"Adelanto en pausa",IF(NOT(ISNUMBER(AM31)),"Previsión",IF(AND(ISNUMBER(H31),N(M31)&gt;0,N(N31)&gt;ROUND(H31-N(I31),3)),"Reasignar sobrante",IF(AND(ISNUMBER(N31),N31&gt;ROUND(AM31-N(I31),3)),"Revisar excedente",IF(AND(ISNUMBER(H31),L31&lt;&gt;"Sí",NOT(AND(N(M31)&gt;0,J31=0))),"Por confirmar",IF(J31=0,"Hecho",IF(AND(ISNUMBER(N31),N31&gt;0),"Completar","Preparar")))))))))))))))))))))))))))))))</f>
        <v>Previsión</v>
      </c>
      <c r="AC31">
        <f t="shared" si="3"/>
        <v>0</v>
      </c>
      <c r="AD31">
        <f>IF(OR(NOT(ISNUMBER(B31)),A31="",NOT(ISNUMBER(Z31)),Z31&lt;=0),0,IF(COUNTIFS($A$9:A31,A31,$B$9:B31,B31,$Z$9:Z31,"&gt;0")=1,1,0))</f>
        <v>1</v>
      </c>
      <c r="AE31">
        <f t="shared" si="4"/>
        <v>0</v>
      </c>
      <c r="AF31">
        <f t="shared" si="5"/>
        <v>0</v>
      </c>
      <c r="AG31" t="str">
        <f>IF(OR(AF31=0,AK31&lt;=0),"",IF(A31="Tsue","Retiro: ","Tanda: ")&amp;ROUND(AE31,3)&amp;" "&amp;F31&amp;". Acordar "&amp;INT(AE31/AK31)&amp;" o "&amp;ROUNDUP(AE31/AK31,0)&amp;IF(A31="Tsue"," envases de 5 L."," porciones de 500 g."))</f>
        <v/>
      </c>
      <c r="AH31">
        <f>IF(COUNTA(A31:E31,H31:I31,K31:L31,N31)=0,0,IF(OR(NOT(ISNUMBER(B31)),B31&lt;'Por semana'!$C$45,B31&gt;'Por semana'!$J$46+6),1,0))</f>
        <v>0</v>
      </c>
      <c r="AI31">
        <f t="shared" si="7"/>
        <v>14</v>
      </c>
      <c r="AJ31">
        <f t="shared" si="8"/>
        <v>1</v>
      </c>
      <c r="AK31">
        <f>IF(R31=0,0,IFERROR(INDEX(criterio!$J$11:$J$22,R31)+0,0))</f>
        <v>0</v>
      </c>
      <c r="AL31" t="str">
        <f t="shared" si="9"/>
        <v>Previsión</v>
      </c>
      <c r="AM31" t="str">
        <f t="shared" si="10"/>
        <v/>
      </c>
    </row>
    <row r="32" spans="1:39" ht="31" customHeight="1">
      <c r="A32" s="5" t="s">
        <v>59</v>
      </c>
      <c r="B32" s="19">
        <v>46363</v>
      </c>
      <c r="C32" s="19">
        <v>46363</v>
      </c>
      <c r="D32" s="19">
        <v>46364</v>
      </c>
      <c r="E32" s="19">
        <v>46370</v>
      </c>
      <c r="F32" s="4" t="str">
        <f>IF(R32=0,"",INDEX(criterio!$B$11:$B$22,R32))</f>
        <v>kg</v>
      </c>
      <c r="G32" s="23">
        <f>IFERROR(IF(INDEX(criterio!$B$31:$B$111,MATCH(W32,criterio!$A$31:$A$111,0))=A32,INDEX(criterio!$C$31:$C$111,MATCH(W32,criterio!$A$31:$A$111,0)),""),"")</f>
        <v>2.3330000000000002</v>
      </c>
      <c r="H32" s="25"/>
      <c r="I32" s="25"/>
      <c r="J32" s="27" t="str">
        <f t="shared" si="11"/>
        <v/>
      </c>
      <c r="K32" s="20"/>
      <c r="L32" s="21"/>
      <c r="M32" s="25"/>
      <c r="N32" s="25"/>
      <c r="O32" s="6" t="str">
        <f t="shared" si="0"/>
        <v>Previsión</v>
      </c>
      <c r="P32" s="6" t="str">
        <f>IFERROR(IF(AND(INDEX(criterio!$I$31:$I$111,MATCH(W32,criterio!$A$31:$A$111,0))=1,INDEX(criterio!$B$31:$B$111,MATCH(W32,criterio!$A$31:$A$111,0))=A32,ISNUMBER(B32),B32&gt;=criterio!$B$5,D32&lt;=criterio!$B$6,E32&gt;=criterio!$B$5),"Fuera de la previa del 20/12",""),"")</f>
        <v/>
      </c>
      <c r="Q32" s="22">
        <f t="shared" si="1"/>
        <v>46373</v>
      </c>
      <c r="R32">
        <f>IFERROR(MATCH(A32,criterio!$A$11:$A$22,0),0)</f>
        <v>12</v>
      </c>
      <c r="S32">
        <f>IF(R32=0,"",INDEX(criterio!$E$11:$E$22,R32))</f>
        <v>0</v>
      </c>
      <c r="T32">
        <f>IF(R32=0,"",INDEX(criterio!$C$11:$C$22,R32))</f>
        <v>10</v>
      </c>
      <c r="U32" t="str">
        <f>IF(R32=0,"",INDEX(criterio!$D$11:$D$22,R32))</f>
        <v>días</v>
      </c>
      <c r="V32">
        <f>IF(AND(ISNUMBER(B32),B32=Turno!$B$3,OR(AL32="Preparar",AL32="Completar")),MAX($V$8:V31)+1,0)</f>
        <v>0</v>
      </c>
      <c r="W32" t="s">
        <v>68</v>
      </c>
      <c r="Y32" t="str">
        <f>IF(R32=0,"",INDEX(criterio!$I$11:$I$22,R32))</f>
        <v>Heladera 0–5 °C.</v>
      </c>
      <c r="Z32">
        <f t="shared" si="2"/>
        <v>2.3330000000000002</v>
      </c>
      <c r="AA32" t="str">
        <f>IF(OR(A32="",COUNT(B32:C32)&lt;&gt;2),"",IF(OR(WEEKDAY(B32,2)&gt;5,COUNTIF(criterio!$B$25:$E$25,B32)&gt;0),"Cambiar día de elaboración",IF(OR(WEEKDAY(C32,2)&gt;5,COUNTIF(criterio!$B$25:$E$25,C32)&gt;0),"Cambiar día de retiro",IF(SUMIF($B$9:$B$128,B32,$AD$9:$AD$128)&gt;criterio!$D$26,"Más de dos recetas",IF(OR(A32="",NOT(ISNUMBER(B32))),"",IF(OR(NOT(ISNUMBER($Q$2)),NOT(ISNUMBER($Q$3)),$Q$2&lt;=0,$Q$3&lt;=0),"Revisar topes de carga",IF(SUMIFS($Z$9:$Z$128,$B$9:$B$128,B32,$F$9:$F$128,"kg")/$Q$2+SUMIFS($Z$9:$Z$128,$B$9:$B$128,B32,$F$9:$F$128,"L")/$Q$3&gt;1.000001,"Repartir carga del día","")))))))</f>
        <v/>
      </c>
      <c r="AB32" t="str">
        <f>IF(COUNTA(A32:E32,H32:I32,K32:N32)=0,"",IF(R32=0,"Elegir producto",IF(COUNT(B32:E32)&lt;&gt;4,"Completar fechas",IF(E32&lt;D32,"Revisar días de uso",IF(C32+criterio!$B$3&gt;D32,"El retiro llega tarde",IF(AND(N32&lt;&gt;"",OR(NOT(ISNUMBER(N32)),N32&lt;0)),"Revisar cantidad hecha",IF(AND(M32&lt;&gt;"",OR(NOT(ISNUMBER(M32)),M32&lt;0)),"Revisar cant. a adelantar",IF(AND(AND(ISBLANK(H32),L32="Adelanto"),NOT(ISNUMBER(AM32))),"Cargar cant. a adelantar",IF(AND(AND(ISBLANK(H32),L32="Adelanto"),I32&lt;&gt;"",OR(NOT(ISNUMBER(I32)),I32&lt;&gt;0)),"Revisar stock del adelanto",IF(AND(ISNUMBER(N32),N32&gt;0,L32&lt;&gt;"Sí",L32&lt;&gt;"Adelanto",N(M32)&lt;=0),"Hecho sin liberar",IF(AND(ISBLANK(H32),L32&lt;&gt;"Adelanto",OR(I32&lt;&gt;"",L32="Sí")),"Falta pedido real",IF(AND(H32&lt;&gt;"",OR(NOT(ISNUMBER(H32)),H32&lt;0)),"Revisar pedido",IF(AND(ISNUMBER(H32),H32=0,N(M32)&gt;0,N(N32)&gt;0,N(I32)=0),"Reasignar sobrante",IF(AND(ISNUMBER(H32),H32=0,OR(N32&gt;0,I32&gt;0)),"Revisar pedido y cantidades",IF(AND(ISNUMBER(H32),H32=0),"Sin pedido",IF(AND(ISNUMBER(H32),ISBLANK(I32)),"Falta anotar stock",IF(AND(I32&lt;&gt;"",OR(NOT(ISNUMBER(I32)),I32&lt;0,AND(ISNUMBER(H32),I32&gt;H32))),"Revisar stock asignado",IF(AND(ISNUMBER(I32),I32&gt;0,NOT(ISNUMBER(K32))),"Falta vencimiento de stock",IF(AND(ISNUMBER(I32),I32&gt;0,K32&lt;E32+criterio!$B$4),"El stock no cubre el uso",IF(AND(ISNUMBER(H32),ISNUMBER(I32),H32=I32,OR(N32="",N32=0)),"Cubierto con stock",IF(B32=criterio!$B$25,"Jornada bloqueada",IF(B32+S32&gt;C32,"No llega al retiro",IF(Q32&lt;E32,"Vence antes del último uso",IF(Q32&lt;E32+criterio!$B$4,"Falta margen de vida útil",IF(AND(ISBLANK(H32),L32&lt;&gt;"Adelanto",N(N32)&gt;0,N(M32)&gt;0),"Adelanto en pausa",IF(NOT(ISNUMBER(AM32)),"Previsión",IF(AND(ISNUMBER(H32),N(M32)&gt;0,N(N32)&gt;ROUND(H32-N(I32),3)),"Reasignar sobrante",IF(AND(ISNUMBER(N32),N32&gt;ROUND(AM32-N(I32),3)),"Revisar excedente",IF(AND(ISNUMBER(H32),L32&lt;&gt;"Sí",NOT(AND(N(M32)&gt;0,J32=0))),"Por confirmar",IF(J32=0,"Hecho",IF(AND(ISNUMBER(N32),N32&gt;0),"Completar","Preparar")))))))))))))))))))))))))))))))</f>
        <v>Previsión</v>
      </c>
      <c r="AC32">
        <f t="shared" si="3"/>
        <v>0</v>
      </c>
      <c r="AD32">
        <f>IF(OR(NOT(ISNUMBER(B32)),A32="",NOT(ISNUMBER(Z32)),Z32&lt;=0),0,IF(COUNTIFS($A$9:A32,A32,$B$9:B32,B32,$Z$9:Z32,"&gt;0")=1,1,0))</f>
        <v>1</v>
      </c>
      <c r="AE32">
        <f t="shared" si="4"/>
        <v>2.3330000000000002</v>
      </c>
      <c r="AF32">
        <f t="shared" si="5"/>
        <v>1</v>
      </c>
      <c r="AG32" t="str">
        <f>IF(OR(AF32=0,AK32&lt;=0),"",IF(A32="Tsue","Retiro: ","Tanda: ")&amp;ROUND(AE32,3)&amp;" "&amp;F32&amp;". Acordar "&amp;INT(AE32/AK32)&amp;" o "&amp;ROUNDUP(AE32/AK32,0)&amp;IF(A32="Tsue"," envases de 5 L."," porciones de 500 g."))</f>
        <v>Tanda: 2.333 kg. Acordar 4 o 5 porciones de 500 g.</v>
      </c>
      <c r="AH32">
        <f>IF(COUNTA(A32:E32,H32:I32,K32:L32,N32)=0,0,IF(OR(NOT(ISNUMBER(B32)),B32&lt;'Por semana'!$C$45,B32&gt;'Por semana'!$J$46+6),1,0))</f>
        <v>0</v>
      </c>
      <c r="AI32">
        <f t="shared" si="7"/>
        <v>2.3330000000000002</v>
      </c>
      <c r="AJ32">
        <f t="shared" si="8"/>
        <v>1</v>
      </c>
      <c r="AK32">
        <f>IF(R32=0,0,IFERROR(INDEX(criterio!$J$11:$J$22,R32)+0,0))</f>
        <v>0.5</v>
      </c>
      <c r="AL32" t="str">
        <f t="shared" si="9"/>
        <v>Previsión</v>
      </c>
      <c r="AM32" t="str">
        <f t="shared" si="10"/>
        <v/>
      </c>
    </row>
    <row r="33" spans="1:39" ht="31" customHeight="1">
      <c r="A33" s="5" t="s">
        <v>40</v>
      </c>
      <c r="B33" s="19">
        <v>46364</v>
      </c>
      <c r="C33" s="19">
        <v>46386</v>
      </c>
      <c r="D33" s="19">
        <v>46388</v>
      </c>
      <c r="E33" s="19">
        <v>46391</v>
      </c>
      <c r="F33" s="4" t="str">
        <f>IF(R33=0,"",INDEX(criterio!$B$11:$B$22,R33))</f>
        <v>L</v>
      </c>
      <c r="G33" s="24">
        <f>IFERROR(IF(INDEX(criterio!$B$31:$B$111,MATCH(W33,criterio!$A$31:$A$111,0))=A33,INDEX(criterio!$C$31:$C$111,MATCH(W33,criterio!$A$31:$A$111,0)),""),"")</f>
        <v>37</v>
      </c>
      <c r="H33" s="26"/>
      <c r="I33" s="26"/>
      <c r="J33" s="28" t="str">
        <f t="shared" si="11"/>
        <v/>
      </c>
      <c r="K33" s="20"/>
      <c r="L33" s="21"/>
      <c r="M33" s="26"/>
      <c r="N33" s="26"/>
      <c r="O33" s="6" t="str">
        <f t="shared" si="0"/>
        <v>Previsión</v>
      </c>
      <c r="P33" s="6" t="str">
        <f>IFERROR(IF(AND(INDEX(criterio!$I$31:$I$111,MATCH(W33,criterio!$A$31:$A$111,0))=1,INDEX(criterio!$B$31:$B$111,MATCH(W33,criterio!$A$31:$A$111,0))=A33,ISNUMBER(B33),B33&gt;=criterio!$B$5,D33&lt;=criterio!$B$6,E33&gt;=criterio!$B$5),"Fuera de la previa del 20/12",""),"")</f>
        <v/>
      </c>
      <c r="Q33" s="22">
        <f t="shared" si="1"/>
        <v>46395</v>
      </c>
      <c r="R33">
        <f>IFERROR(MATCH(A33,criterio!$A$11:$A$22,0),0)</f>
        <v>8</v>
      </c>
      <c r="S33">
        <f>IF(R33=0,"",INDEX(criterio!$E$11:$E$22,R33))</f>
        <v>0</v>
      </c>
      <c r="T33">
        <f>IF(R33=0,"",INDEX(criterio!$C$11:$C$22,R33))</f>
        <v>1</v>
      </c>
      <c r="U33" t="str">
        <f>IF(R33=0,"",INDEX(criterio!$D$11:$D$22,R33))</f>
        <v>mes</v>
      </c>
      <c r="V33">
        <f>IF(AND(ISNUMBER(B33),B33=Turno!$B$3,OR(AL33="Preparar",AL33="Completar")),MAX($V$8:V32)+1,0)</f>
        <v>0</v>
      </c>
      <c r="W33" t="s">
        <v>69</v>
      </c>
      <c r="Y33" t="str">
        <f>IF(R33=0,"",INDEX(criterio!$I$11:$I$22,R33))</f>
        <v>Lugar fresco y seco, 15–30 °C.
Proteger de luz y calor.</v>
      </c>
      <c r="Z33">
        <f t="shared" si="2"/>
        <v>37</v>
      </c>
      <c r="AA33" t="str">
        <f>IF(OR(A33="",COUNT(B33:C33)&lt;&gt;2),"",IF(OR(WEEKDAY(B33,2)&gt;5,COUNTIF(criterio!$B$25:$E$25,B33)&gt;0),"Cambiar día de elaboración",IF(OR(WEEKDAY(C33,2)&gt;5,COUNTIF(criterio!$B$25:$E$25,C33)&gt;0),"Cambiar día de retiro",IF(SUMIF($B$9:$B$128,B33,$AD$9:$AD$128)&gt;criterio!$D$26,"Más de dos recetas",IF(OR(A33="",NOT(ISNUMBER(B33))),"",IF(OR(NOT(ISNUMBER($Q$2)),NOT(ISNUMBER($Q$3)),$Q$2&lt;=0,$Q$3&lt;=0),"Revisar topes de carga",IF(SUMIFS($Z$9:$Z$128,$B$9:$B$128,B33,$F$9:$F$128,"kg")/$Q$2+SUMIFS($Z$9:$Z$128,$B$9:$B$128,B33,$F$9:$F$128,"L")/$Q$3&gt;1.000001,"Repartir carga del día","")))))))</f>
        <v/>
      </c>
      <c r="AB33" t="str">
        <f>IF(COUNTA(A33:E33,H33:I33,K33:N33)=0,"",IF(R33=0,"Elegir producto",IF(COUNT(B33:E33)&lt;&gt;4,"Completar fechas",IF(E33&lt;D33,"Revisar días de uso",IF(C33+criterio!$B$3&gt;D33,"El retiro llega tarde",IF(AND(N33&lt;&gt;"",OR(NOT(ISNUMBER(N33)),N33&lt;0)),"Revisar cantidad hecha",IF(AND(M33&lt;&gt;"",OR(NOT(ISNUMBER(M33)),M33&lt;0)),"Revisar cant. a adelantar",IF(AND(AND(ISBLANK(H33),L33="Adelanto"),NOT(ISNUMBER(AM33))),"Cargar cant. a adelantar",IF(AND(AND(ISBLANK(H33),L33="Adelanto"),I33&lt;&gt;"",OR(NOT(ISNUMBER(I33)),I33&lt;&gt;0)),"Revisar stock del adelanto",IF(AND(ISNUMBER(N33),N33&gt;0,L33&lt;&gt;"Sí",L33&lt;&gt;"Adelanto",N(M33)&lt;=0),"Hecho sin liberar",IF(AND(ISBLANK(H33),L33&lt;&gt;"Adelanto",OR(I33&lt;&gt;"",L33="Sí")),"Falta pedido real",IF(AND(H33&lt;&gt;"",OR(NOT(ISNUMBER(H33)),H33&lt;0)),"Revisar pedido",IF(AND(ISNUMBER(H33),H33=0,N(M33)&gt;0,N(N33)&gt;0,N(I33)=0),"Reasignar sobrante",IF(AND(ISNUMBER(H33),H33=0,OR(N33&gt;0,I33&gt;0)),"Revisar pedido y cantidades",IF(AND(ISNUMBER(H33),H33=0),"Sin pedido",IF(AND(ISNUMBER(H33),ISBLANK(I33)),"Falta anotar stock",IF(AND(I33&lt;&gt;"",OR(NOT(ISNUMBER(I33)),I33&lt;0,AND(ISNUMBER(H33),I33&gt;H33))),"Revisar stock asignado",IF(AND(ISNUMBER(I33),I33&gt;0,NOT(ISNUMBER(K33))),"Falta vencimiento de stock",IF(AND(ISNUMBER(I33),I33&gt;0,K33&lt;E33+criterio!$B$4),"El stock no cubre el uso",IF(AND(ISNUMBER(H33),ISNUMBER(I33),H33=I33,OR(N33="",N33=0)),"Cubierto con stock",IF(B33=criterio!$B$25,"Jornada bloqueada",IF(B33+S33&gt;C33,"No llega al retiro",IF(Q33&lt;E33,"Vence antes del último uso",IF(Q33&lt;E33+criterio!$B$4,"Falta margen de vida útil",IF(AND(ISBLANK(H33),L33&lt;&gt;"Adelanto",N(N33)&gt;0,N(M33)&gt;0),"Adelanto en pausa",IF(NOT(ISNUMBER(AM33)),"Previsión",IF(AND(ISNUMBER(H33),N(M33)&gt;0,N(N33)&gt;ROUND(H33-N(I33),3)),"Reasignar sobrante",IF(AND(ISNUMBER(N33),N33&gt;ROUND(AM33-N(I33),3)),"Revisar excedente",IF(AND(ISNUMBER(H33),L33&lt;&gt;"Sí",NOT(AND(N(M33)&gt;0,J33=0))),"Por confirmar",IF(J33=0,"Hecho",IF(AND(ISNUMBER(N33),N33&gt;0),"Completar","Preparar")))))))))))))))))))))))))))))))</f>
        <v>Previsión</v>
      </c>
      <c r="AC33">
        <f t="shared" si="3"/>
        <v>0</v>
      </c>
      <c r="AD33">
        <f>IF(OR(NOT(ISNUMBER(B33)),A33="",NOT(ISNUMBER(Z33)),Z33&lt;=0),0,IF(COUNTIFS($A$9:A33,A33,$B$9:B33,B33,$Z$9:Z33,"&gt;0")=1,1,0))</f>
        <v>1</v>
      </c>
      <c r="AE33">
        <f t="shared" si="4"/>
        <v>0</v>
      </c>
      <c r="AF33">
        <f t="shared" si="5"/>
        <v>0</v>
      </c>
      <c r="AG33" t="str">
        <f>IF(OR(AF33=0,AK33&lt;=0),"",IF(A33="Tsue","Retiro: ","Tanda: ")&amp;ROUND(AE33,3)&amp;" "&amp;F33&amp;". Acordar "&amp;INT(AE33/AK33)&amp;" o "&amp;ROUNDUP(AE33/AK33,0)&amp;IF(A33="Tsue"," envases de 5 L."," porciones de 500 g."))</f>
        <v/>
      </c>
      <c r="AH33">
        <f>IF(COUNTA(A33:E33,H33:I33,K33:L33,N33)=0,0,IF(OR(NOT(ISNUMBER(B33)),B33&lt;'Por semana'!$C$45,B33&gt;'Por semana'!$J$46+6),1,0))</f>
        <v>0</v>
      </c>
      <c r="AI33">
        <f t="shared" si="7"/>
        <v>37</v>
      </c>
      <c r="AJ33">
        <f t="shared" si="8"/>
        <v>1</v>
      </c>
      <c r="AK33">
        <f>IF(R33=0,0,IFERROR(INDEX(criterio!$J$11:$J$22,R33)+0,0))</f>
        <v>5</v>
      </c>
      <c r="AL33" t="str">
        <f t="shared" si="9"/>
        <v>Previsión</v>
      </c>
      <c r="AM33" t="str">
        <f t="shared" si="10"/>
        <v/>
      </c>
    </row>
    <row r="34" spans="1:39" ht="31" customHeight="1">
      <c r="A34" s="5" t="s">
        <v>70</v>
      </c>
      <c r="B34" s="19">
        <v>46365</v>
      </c>
      <c r="C34" s="19">
        <v>46371</v>
      </c>
      <c r="D34" s="19">
        <v>46372</v>
      </c>
      <c r="E34" s="19">
        <v>46387</v>
      </c>
      <c r="F34" s="4" t="str">
        <f>IF(R34=0,"",INDEX(criterio!$B$11:$B$22,R34))</f>
        <v>L</v>
      </c>
      <c r="G34" s="24">
        <f>IFERROR(IF(INDEX(criterio!$B$31:$B$111,MATCH(W34,criterio!$A$31:$A$111,0))=A34,INDEX(criterio!$C$31:$C$111,MATCH(W34,criterio!$A$31:$A$111,0)),""),"")</f>
        <v>5</v>
      </c>
      <c r="H34" s="26"/>
      <c r="I34" s="26"/>
      <c r="J34" s="28" t="str">
        <f t="shared" si="11"/>
        <v/>
      </c>
      <c r="K34" s="20"/>
      <c r="L34" s="21"/>
      <c r="M34" s="26"/>
      <c r="N34" s="26"/>
      <c r="O34" s="6" t="str">
        <f t="shared" si="0"/>
        <v>Previsión</v>
      </c>
      <c r="P34" s="6" t="str">
        <f>IFERROR(IF(AND(INDEX(criterio!$I$31:$I$111,MATCH(W34,criterio!$A$31:$A$111,0))=1,INDEX(criterio!$B$31:$B$111,MATCH(W34,criterio!$A$31:$A$111,0))=A34,ISNUMBER(B34),B34&gt;=criterio!$B$5,D34&lt;=criterio!$B$6,E34&gt;=criterio!$B$5),"Fuera de la previa del 20/12",""),"")</f>
        <v/>
      </c>
      <c r="Q34" s="22">
        <f t="shared" si="1"/>
        <v>46395</v>
      </c>
      <c r="R34">
        <f>IFERROR(MATCH(A34,criterio!$A$11:$A$22,0),0)</f>
        <v>11</v>
      </c>
      <c r="S34">
        <f>IF(R34=0,"",INDEX(criterio!$E$11:$E$22,R34))</f>
        <v>0</v>
      </c>
      <c r="T34">
        <f>IF(R34=0,"",INDEX(criterio!$C$11:$C$22,R34))</f>
        <v>30</v>
      </c>
      <c r="U34" t="str">
        <f>IF(R34=0,"",INDEX(criterio!$D$11:$D$22,R34))</f>
        <v>días</v>
      </c>
      <c r="V34">
        <f>IF(AND(ISNUMBER(B34),B34=Turno!$B$3,OR(AL34="Preparar",AL34="Completar")),MAX($V$8:V33)+1,0)</f>
        <v>0</v>
      </c>
      <c r="W34" t="s">
        <v>71</v>
      </c>
      <c r="Y34" t="str">
        <f>IF(R34=0,"",INDEX(criterio!$I$11:$I$22,R34))</f>
        <v>Heladera 0–5 °C. Solo base.
El cítrico se agrega en barra.</v>
      </c>
      <c r="Z34">
        <f t="shared" si="2"/>
        <v>5</v>
      </c>
      <c r="AA34" t="str">
        <f>IF(OR(A34="",COUNT(B34:C34)&lt;&gt;2),"",IF(OR(WEEKDAY(B34,2)&gt;5,COUNTIF(criterio!$B$25:$E$25,B34)&gt;0),"Cambiar día de elaboración",IF(OR(WEEKDAY(C34,2)&gt;5,COUNTIF(criterio!$B$25:$E$25,C34)&gt;0),"Cambiar día de retiro",IF(SUMIF($B$9:$B$128,B34,$AD$9:$AD$128)&gt;criterio!$D$26,"Más de dos recetas",IF(OR(A34="",NOT(ISNUMBER(B34))),"",IF(OR(NOT(ISNUMBER($Q$2)),NOT(ISNUMBER($Q$3)),$Q$2&lt;=0,$Q$3&lt;=0),"Revisar topes de carga",IF(SUMIFS($Z$9:$Z$128,$B$9:$B$128,B34,$F$9:$F$128,"kg")/$Q$2+SUMIFS($Z$9:$Z$128,$B$9:$B$128,B34,$F$9:$F$128,"L")/$Q$3&gt;1.000001,"Repartir carga del día","")))))))</f>
        <v/>
      </c>
      <c r="AB34" t="str">
        <f>IF(COUNTA(A34:E34,H34:I34,K34:N34)=0,"",IF(R34=0,"Elegir producto",IF(COUNT(B34:E34)&lt;&gt;4,"Completar fechas",IF(E34&lt;D34,"Revisar días de uso",IF(C34+criterio!$B$3&gt;D34,"El retiro llega tarde",IF(AND(N34&lt;&gt;"",OR(NOT(ISNUMBER(N34)),N34&lt;0)),"Revisar cantidad hecha",IF(AND(M34&lt;&gt;"",OR(NOT(ISNUMBER(M34)),M34&lt;0)),"Revisar cant. a adelantar",IF(AND(AND(ISBLANK(H34),L34="Adelanto"),NOT(ISNUMBER(AM34))),"Cargar cant. a adelantar",IF(AND(AND(ISBLANK(H34),L34="Adelanto"),I34&lt;&gt;"",OR(NOT(ISNUMBER(I34)),I34&lt;&gt;0)),"Revisar stock del adelanto",IF(AND(ISNUMBER(N34),N34&gt;0,L34&lt;&gt;"Sí",L34&lt;&gt;"Adelanto",N(M34)&lt;=0),"Hecho sin liberar",IF(AND(ISBLANK(H34),L34&lt;&gt;"Adelanto",OR(I34&lt;&gt;"",L34="Sí")),"Falta pedido real",IF(AND(H34&lt;&gt;"",OR(NOT(ISNUMBER(H34)),H34&lt;0)),"Revisar pedido",IF(AND(ISNUMBER(H34),H34=0,N(M34)&gt;0,N(N34)&gt;0,N(I34)=0),"Reasignar sobrante",IF(AND(ISNUMBER(H34),H34=0,OR(N34&gt;0,I34&gt;0)),"Revisar pedido y cantidades",IF(AND(ISNUMBER(H34),H34=0),"Sin pedido",IF(AND(ISNUMBER(H34),ISBLANK(I34)),"Falta anotar stock",IF(AND(I34&lt;&gt;"",OR(NOT(ISNUMBER(I34)),I34&lt;0,AND(ISNUMBER(H34),I34&gt;H34))),"Revisar stock asignado",IF(AND(ISNUMBER(I34),I34&gt;0,NOT(ISNUMBER(K34))),"Falta vencimiento de stock",IF(AND(ISNUMBER(I34),I34&gt;0,K34&lt;E34+criterio!$B$4),"El stock no cubre el uso",IF(AND(ISNUMBER(H34),ISNUMBER(I34),H34=I34,OR(N34="",N34=0)),"Cubierto con stock",IF(B34=criterio!$B$25,"Jornada bloqueada",IF(B34+S34&gt;C34,"No llega al retiro",IF(Q34&lt;E34,"Vence antes del último uso",IF(Q34&lt;E34+criterio!$B$4,"Falta margen de vida útil",IF(AND(ISBLANK(H34),L34&lt;&gt;"Adelanto",N(N34)&gt;0,N(M34)&gt;0),"Adelanto en pausa",IF(NOT(ISNUMBER(AM34)),"Previsión",IF(AND(ISNUMBER(H34),N(M34)&gt;0,N(N34)&gt;ROUND(H34-N(I34),3)),"Reasignar sobrante",IF(AND(ISNUMBER(N34),N34&gt;ROUND(AM34-N(I34),3)),"Revisar excedente",IF(AND(ISNUMBER(H34),L34&lt;&gt;"Sí",NOT(AND(N(M34)&gt;0,J34=0))),"Por confirmar",IF(J34=0,"Hecho",IF(AND(ISNUMBER(N34),N34&gt;0),"Completar","Preparar")))))))))))))))))))))))))))))))</f>
        <v>Previsión</v>
      </c>
      <c r="AC34">
        <f t="shared" si="3"/>
        <v>0</v>
      </c>
      <c r="AD34">
        <f>IF(OR(NOT(ISNUMBER(B34)),A34="",NOT(ISNUMBER(Z34)),Z34&lt;=0),0,IF(COUNTIFS($A$9:A34,A34,$B$9:B34,B34,$Z$9:Z34,"&gt;0")=1,1,0))</f>
        <v>1</v>
      </c>
      <c r="AE34">
        <f t="shared" si="4"/>
        <v>0</v>
      </c>
      <c r="AF34">
        <f t="shared" si="5"/>
        <v>0</v>
      </c>
      <c r="AG34" t="str">
        <f>IF(OR(AF34=0,AK34&lt;=0),"",IF(A34="Tsue","Retiro: ","Tanda: ")&amp;ROUND(AE34,3)&amp;" "&amp;F34&amp;". Acordar "&amp;INT(AE34/AK34)&amp;" o "&amp;ROUNDUP(AE34/AK34,0)&amp;IF(A34="Tsue"," envases de 5 L."," porciones de 500 g."))</f>
        <v/>
      </c>
      <c r="AH34">
        <f>IF(COUNTA(A34:E34,H34:I34,K34:L34,N34)=0,0,IF(OR(NOT(ISNUMBER(B34)),B34&lt;'Por semana'!$C$45,B34&gt;'Por semana'!$J$46+6),1,0))</f>
        <v>0</v>
      </c>
      <c r="AI34">
        <f t="shared" si="7"/>
        <v>5</v>
      </c>
      <c r="AJ34">
        <f t="shared" si="8"/>
        <v>1</v>
      </c>
      <c r="AK34">
        <f>IF(R34=0,0,IFERROR(INDEX(criterio!$J$11:$J$22,R34)+0,0))</f>
        <v>0</v>
      </c>
      <c r="AL34" t="str">
        <f t="shared" si="9"/>
        <v>Previsión</v>
      </c>
      <c r="AM34" t="str">
        <f t="shared" si="10"/>
        <v/>
      </c>
    </row>
    <row r="35" spans="1:39" ht="31" customHeight="1">
      <c r="A35" s="5" t="s">
        <v>37</v>
      </c>
      <c r="B35" s="19">
        <v>46365</v>
      </c>
      <c r="C35" s="19">
        <v>46402</v>
      </c>
      <c r="D35" s="19">
        <v>46403</v>
      </c>
      <c r="E35" s="19">
        <v>46418</v>
      </c>
      <c r="F35" s="4" t="str">
        <f>IF(R35=0,"",INDEX(criterio!$B$11:$B$22,R35))</f>
        <v>kg</v>
      </c>
      <c r="G35" s="23">
        <f>IFERROR(IF(INDEX(criterio!$B$31:$B$111,MATCH(W35,criterio!$A$31:$A$111,0))=A35,INDEX(criterio!$C$31:$C$111,MATCH(W35,criterio!$A$31:$A$111,0)),""),"")</f>
        <v>14</v>
      </c>
      <c r="H35" s="25"/>
      <c r="I35" s="25"/>
      <c r="J35" s="27" t="str">
        <f t="shared" si="11"/>
        <v/>
      </c>
      <c r="K35" s="20"/>
      <c r="L35" s="21"/>
      <c r="M35" s="25"/>
      <c r="N35" s="25"/>
      <c r="O35" s="6" t="str">
        <f t="shared" si="0"/>
        <v>Previsión</v>
      </c>
      <c r="P35" s="6" t="str">
        <f>IFERROR(IF(AND(INDEX(criterio!$I$31:$I$111,MATCH(W35,criterio!$A$31:$A$111,0))=1,INDEX(criterio!$B$31:$B$111,MATCH(W35,criterio!$A$31:$A$111,0))=A35,ISNUMBER(B35),B35&gt;=criterio!$B$5,D35&lt;=criterio!$B$6,E35&gt;=criterio!$B$5),"Fuera de la previa del 20/12",""),"")</f>
        <v/>
      </c>
      <c r="Q35" s="22">
        <f t="shared" si="1"/>
        <v>46455</v>
      </c>
      <c r="R35">
        <f>IFERROR(MATCH(A35,criterio!$A$11:$A$22,0),0)</f>
        <v>2</v>
      </c>
      <c r="S35">
        <f>IF(R35=0,"",INDEX(criterio!$E$11:$E$22,R35))</f>
        <v>0</v>
      </c>
      <c r="T35">
        <f>IF(R35=0,"",INDEX(criterio!$C$11:$C$22,R35))</f>
        <v>90</v>
      </c>
      <c r="U35" t="str">
        <f>IF(R35=0,"",INDEX(criterio!$D$11:$D$22,R35))</f>
        <v>días</v>
      </c>
      <c r="V35">
        <f>IF(AND(ISNUMBER(B35),B35=Turno!$B$3,OR(AL35="Preparar",AL35="Completar")),MAX($V$8:V34)+1,0)</f>
        <v>0</v>
      </c>
      <c r="W35" t="s">
        <v>72</v>
      </c>
      <c r="Y35" t="str">
        <f>IF(R35=0,"",INDEX(criterio!$I$11:$I$22,R35))</f>
        <v>Freezer −18 °C.
Abierta en heladera: 3 días, sin superar vencimiento.</v>
      </c>
      <c r="Z35">
        <f t="shared" si="2"/>
        <v>14</v>
      </c>
      <c r="AA35" t="str">
        <f>IF(OR(A35="",COUNT(B35:C35)&lt;&gt;2),"",IF(OR(WEEKDAY(B35,2)&gt;5,COUNTIF(criterio!$B$25:$E$25,B35)&gt;0),"Cambiar día de elaboración",IF(OR(WEEKDAY(C35,2)&gt;5,COUNTIF(criterio!$B$25:$E$25,C35)&gt;0),"Cambiar día de retiro",IF(SUMIF($B$9:$B$128,B35,$AD$9:$AD$128)&gt;criterio!$D$26,"Más de dos recetas",IF(OR(A35="",NOT(ISNUMBER(B35))),"",IF(OR(NOT(ISNUMBER($Q$2)),NOT(ISNUMBER($Q$3)),$Q$2&lt;=0,$Q$3&lt;=0),"Revisar topes de carga",IF(SUMIFS($Z$9:$Z$128,$B$9:$B$128,B35,$F$9:$F$128,"kg")/$Q$2+SUMIFS($Z$9:$Z$128,$B$9:$B$128,B35,$F$9:$F$128,"L")/$Q$3&gt;1.000001,"Repartir carga del día","")))))))</f>
        <v/>
      </c>
      <c r="AB35" t="str">
        <f>IF(COUNTA(A35:E35,H35:I35,K35:N35)=0,"",IF(R35=0,"Elegir producto",IF(COUNT(B35:E35)&lt;&gt;4,"Completar fechas",IF(E35&lt;D35,"Revisar días de uso",IF(C35+criterio!$B$3&gt;D35,"El retiro llega tarde",IF(AND(N35&lt;&gt;"",OR(NOT(ISNUMBER(N35)),N35&lt;0)),"Revisar cantidad hecha",IF(AND(M35&lt;&gt;"",OR(NOT(ISNUMBER(M35)),M35&lt;0)),"Revisar cant. a adelantar",IF(AND(AND(ISBLANK(H35),L35="Adelanto"),NOT(ISNUMBER(AM35))),"Cargar cant. a adelantar",IF(AND(AND(ISBLANK(H35),L35="Adelanto"),I35&lt;&gt;"",OR(NOT(ISNUMBER(I35)),I35&lt;&gt;0)),"Revisar stock del adelanto",IF(AND(ISNUMBER(N35),N35&gt;0,L35&lt;&gt;"Sí",L35&lt;&gt;"Adelanto",N(M35)&lt;=0),"Hecho sin liberar",IF(AND(ISBLANK(H35),L35&lt;&gt;"Adelanto",OR(I35&lt;&gt;"",L35="Sí")),"Falta pedido real",IF(AND(H35&lt;&gt;"",OR(NOT(ISNUMBER(H35)),H35&lt;0)),"Revisar pedido",IF(AND(ISNUMBER(H35),H35=0,N(M35)&gt;0,N(N35)&gt;0,N(I35)=0),"Reasignar sobrante",IF(AND(ISNUMBER(H35),H35=0,OR(N35&gt;0,I35&gt;0)),"Revisar pedido y cantidades",IF(AND(ISNUMBER(H35),H35=0),"Sin pedido",IF(AND(ISNUMBER(H35),ISBLANK(I35)),"Falta anotar stock",IF(AND(I35&lt;&gt;"",OR(NOT(ISNUMBER(I35)),I35&lt;0,AND(ISNUMBER(H35),I35&gt;H35))),"Revisar stock asignado",IF(AND(ISNUMBER(I35),I35&gt;0,NOT(ISNUMBER(K35))),"Falta vencimiento de stock",IF(AND(ISNUMBER(I35),I35&gt;0,K35&lt;E35+criterio!$B$4),"El stock no cubre el uso",IF(AND(ISNUMBER(H35),ISNUMBER(I35),H35=I35,OR(N35="",N35=0)),"Cubierto con stock",IF(B35=criterio!$B$25,"Jornada bloqueada",IF(B35+S35&gt;C35,"No llega al retiro",IF(Q35&lt;E35,"Vence antes del último uso",IF(Q35&lt;E35+criterio!$B$4,"Falta margen de vida útil",IF(AND(ISBLANK(H35),L35&lt;&gt;"Adelanto",N(N35)&gt;0,N(M35)&gt;0),"Adelanto en pausa",IF(NOT(ISNUMBER(AM35)),"Previsión",IF(AND(ISNUMBER(H35),N(M35)&gt;0,N(N35)&gt;ROUND(H35-N(I35),3)),"Reasignar sobrante",IF(AND(ISNUMBER(N35),N35&gt;ROUND(AM35-N(I35),3)),"Revisar excedente",IF(AND(ISNUMBER(H35),L35&lt;&gt;"Sí",NOT(AND(N(M35)&gt;0,J35=0))),"Por confirmar",IF(J35=0,"Hecho",IF(AND(ISNUMBER(N35),N35&gt;0),"Completar","Preparar")))))))))))))))))))))))))))))))</f>
        <v>Previsión</v>
      </c>
      <c r="AC35">
        <f t="shared" si="3"/>
        <v>0</v>
      </c>
      <c r="AD35">
        <f>IF(OR(NOT(ISNUMBER(B35)),A35="",NOT(ISNUMBER(Z35)),Z35&lt;=0),0,IF(COUNTIFS($A$9:A35,A35,$B$9:B35,B35,$Z$9:Z35,"&gt;0")=1,1,0))</f>
        <v>1</v>
      </c>
      <c r="AE35">
        <f t="shared" si="4"/>
        <v>0</v>
      </c>
      <c r="AF35">
        <f t="shared" si="5"/>
        <v>0</v>
      </c>
      <c r="AG35" t="str">
        <f>IF(OR(AF35=0,AK35&lt;=0),"",IF(A35="Tsue","Retiro: ","Tanda: ")&amp;ROUND(AE35,3)&amp;" "&amp;F35&amp;". Acordar "&amp;INT(AE35/AK35)&amp;" o "&amp;ROUNDUP(AE35/AK35,0)&amp;IF(A35="Tsue"," envases de 5 L."," porciones de 500 g."))</f>
        <v/>
      </c>
      <c r="AH35">
        <f>IF(COUNTA(A35:E35,H35:I35,K35:L35,N35)=0,0,IF(OR(NOT(ISNUMBER(B35)),B35&lt;'Por semana'!$C$45,B35&gt;'Por semana'!$J$46+6),1,0))</f>
        <v>0</v>
      </c>
      <c r="AI35">
        <f t="shared" si="7"/>
        <v>14</v>
      </c>
      <c r="AJ35">
        <f t="shared" si="8"/>
        <v>1</v>
      </c>
      <c r="AK35">
        <f>IF(R35=0,0,IFERROR(INDEX(criterio!$J$11:$J$22,R35)+0,0))</f>
        <v>0</v>
      </c>
      <c r="AL35" t="str">
        <f t="shared" si="9"/>
        <v>Previsión</v>
      </c>
      <c r="AM35" t="str">
        <f t="shared" si="10"/>
        <v/>
      </c>
    </row>
    <row r="36" spans="1:39" ht="31" customHeight="1">
      <c r="A36" s="5" t="s">
        <v>40</v>
      </c>
      <c r="B36" s="19">
        <v>46366</v>
      </c>
      <c r="C36" s="19">
        <v>46386</v>
      </c>
      <c r="D36" s="19">
        <v>46392</v>
      </c>
      <c r="E36" s="19">
        <v>46395</v>
      </c>
      <c r="F36" s="4" t="str">
        <f>IF(R36=0,"",INDEX(criterio!$B$11:$B$22,R36))</f>
        <v>L</v>
      </c>
      <c r="G36" s="24">
        <f>IFERROR(IF(INDEX(criterio!$B$31:$B$111,MATCH(W36,criterio!$A$31:$A$111,0))=A36,INDEX(criterio!$C$31:$C$111,MATCH(W36,criterio!$A$31:$A$111,0)),""),"")</f>
        <v>38</v>
      </c>
      <c r="H36" s="26"/>
      <c r="I36" s="26"/>
      <c r="J36" s="28" t="str">
        <f t="shared" si="11"/>
        <v/>
      </c>
      <c r="K36" s="20"/>
      <c r="L36" s="21"/>
      <c r="M36" s="26"/>
      <c r="N36" s="26"/>
      <c r="O36" s="6" t="str">
        <f t="shared" si="0"/>
        <v>Previsión</v>
      </c>
      <c r="P36" s="6" t="str">
        <f>IFERROR(IF(AND(INDEX(criterio!$I$31:$I$111,MATCH(W36,criterio!$A$31:$A$111,0))=1,INDEX(criterio!$B$31:$B$111,MATCH(W36,criterio!$A$31:$A$111,0))=A36,ISNUMBER(B36),B36&gt;=criterio!$B$5,D36&lt;=criterio!$B$6,E36&gt;=criterio!$B$5),"Fuera de la previa del 20/12",""),"")</f>
        <v/>
      </c>
      <c r="Q36" s="22">
        <f t="shared" si="1"/>
        <v>46397</v>
      </c>
      <c r="R36">
        <f>IFERROR(MATCH(A36,criterio!$A$11:$A$22,0),0)</f>
        <v>8</v>
      </c>
      <c r="S36">
        <f>IF(R36=0,"",INDEX(criterio!$E$11:$E$22,R36))</f>
        <v>0</v>
      </c>
      <c r="T36">
        <f>IF(R36=0,"",INDEX(criterio!$C$11:$C$22,R36))</f>
        <v>1</v>
      </c>
      <c r="U36" t="str">
        <f>IF(R36=0,"",INDEX(criterio!$D$11:$D$22,R36))</f>
        <v>mes</v>
      </c>
      <c r="V36">
        <f>IF(AND(ISNUMBER(B36),B36=Turno!$B$3,OR(AL36="Preparar",AL36="Completar")),MAX($V$8:V35)+1,0)</f>
        <v>0</v>
      </c>
      <c r="W36" t="s">
        <v>73</v>
      </c>
      <c r="Y36" t="str">
        <f>IF(R36=0,"",INDEX(criterio!$I$11:$I$22,R36))</f>
        <v>Lugar fresco y seco, 15–30 °C.
Proteger de luz y calor.</v>
      </c>
      <c r="Z36">
        <f t="shared" si="2"/>
        <v>38</v>
      </c>
      <c r="AA36" t="str">
        <f>IF(OR(A36="",COUNT(B36:C36)&lt;&gt;2),"",IF(OR(WEEKDAY(B36,2)&gt;5,COUNTIF(criterio!$B$25:$E$25,B36)&gt;0),"Cambiar día de elaboración",IF(OR(WEEKDAY(C36,2)&gt;5,COUNTIF(criterio!$B$25:$E$25,C36)&gt;0),"Cambiar día de retiro",IF(SUMIF($B$9:$B$128,B36,$AD$9:$AD$128)&gt;criterio!$D$26,"Más de dos recetas",IF(OR(A36="",NOT(ISNUMBER(B36))),"",IF(OR(NOT(ISNUMBER($Q$2)),NOT(ISNUMBER($Q$3)),$Q$2&lt;=0,$Q$3&lt;=0),"Revisar topes de carga",IF(SUMIFS($Z$9:$Z$128,$B$9:$B$128,B36,$F$9:$F$128,"kg")/$Q$2+SUMIFS($Z$9:$Z$128,$B$9:$B$128,B36,$F$9:$F$128,"L")/$Q$3&gt;1.000001,"Repartir carga del día","")))))))</f>
        <v/>
      </c>
      <c r="AB36" t="str">
        <f>IF(COUNTA(A36:E36,H36:I36,K36:N36)=0,"",IF(R36=0,"Elegir producto",IF(COUNT(B36:E36)&lt;&gt;4,"Completar fechas",IF(E36&lt;D36,"Revisar días de uso",IF(C36+criterio!$B$3&gt;D36,"El retiro llega tarde",IF(AND(N36&lt;&gt;"",OR(NOT(ISNUMBER(N36)),N36&lt;0)),"Revisar cantidad hecha",IF(AND(M36&lt;&gt;"",OR(NOT(ISNUMBER(M36)),M36&lt;0)),"Revisar cant. a adelantar",IF(AND(AND(ISBLANK(H36),L36="Adelanto"),NOT(ISNUMBER(AM36))),"Cargar cant. a adelantar",IF(AND(AND(ISBLANK(H36),L36="Adelanto"),I36&lt;&gt;"",OR(NOT(ISNUMBER(I36)),I36&lt;&gt;0)),"Revisar stock del adelanto",IF(AND(ISNUMBER(N36),N36&gt;0,L36&lt;&gt;"Sí",L36&lt;&gt;"Adelanto",N(M36)&lt;=0),"Hecho sin liberar",IF(AND(ISBLANK(H36),L36&lt;&gt;"Adelanto",OR(I36&lt;&gt;"",L36="Sí")),"Falta pedido real",IF(AND(H36&lt;&gt;"",OR(NOT(ISNUMBER(H36)),H36&lt;0)),"Revisar pedido",IF(AND(ISNUMBER(H36),H36=0,N(M36)&gt;0,N(N36)&gt;0,N(I36)=0),"Reasignar sobrante",IF(AND(ISNUMBER(H36),H36=0,OR(N36&gt;0,I36&gt;0)),"Revisar pedido y cantidades",IF(AND(ISNUMBER(H36),H36=0),"Sin pedido",IF(AND(ISNUMBER(H36),ISBLANK(I36)),"Falta anotar stock",IF(AND(I36&lt;&gt;"",OR(NOT(ISNUMBER(I36)),I36&lt;0,AND(ISNUMBER(H36),I36&gt;H36))),"Revisar stock asignado",IF(AND(ISNUMBER(I36),I36&gt;0,NOT(ISNUMBER(K36))),"Falta vencimiento de stock",IF(AND(ISNUMBER(I36),I36&gt;0,K36&lt;E36+criterio!$B$4),"El stock no cubre el uso",IF(AND(ISNUMBER(H36),ISNUMBER(I36),H36=I36,OR(N36="",N36=0)),"Cubierto con stock",IF(B36=criterio!$B$25,"Jornada bloqueada",IF(B36+S36&gt;C36,"No llega al retiro",IF(Q36&lt;E36,"Vence antes del último uso",IF(Q36&lt;E36+criterio!$B$4,"Falta margen de vida útil",IF(AND(ISBLANK(H36),L36&lt;&gt;"Adelanto",N(N36)&gt;0,N(M36)&gt;0),"Adelanto en pausa",IF(NOT(ISNUMBER(AM36)),"Previsión",IF(AND(ISNUMBER(H36),N(M36)&gt;0,N(N36)&gt;ROUND(H36-N(I36),3)),"Reasignar sobrante",IF(AND(ISNUMBER(N36),N36&gt;ROUND(AM36-N(I36),3)),"Revisar excedente",IF(AND(ISNUMBER(H36),L36&lt;&gt;"Sí",NOT(AND(N(M36)&gt;0,J36=0))),"Por confirmar",IF(J36=0,"Hecho",IF(AND(ISNUMBER(N36),N36&gt;0),"Completar","Preparar")))))))))))))))))))))))))))))))</f>
        <v>Previsión</v>
      </c>
      <c r="AC36">
        <f t="shared" si="3"/>
        <v>0</v>
      </c>
      <c r="AD36">
        <f>IF(OR(NOT(ISNUMBER(B36)),A36="",NOT(ISNUMBER(Z36)),Z36&lt;=0),0,IF(COUNTIFS($A$9:A36,A36,$B$9:B36,B36,$Z$9:Z36,"&gt;0")=1,1,0))</f>
        <v>1</v>
      </c>
      <c r="AE36">
        <f t="shared" si="4"/>
        <v>0</v>
      </c>
      <c r="AF36">
        <f t="shared" si="5"/>
        <v>0</v>
      </c>
      <c r="AG36" t="str">
        <f>IF(OR(AF36=0,AK36&lt;=0),"",IF(A36="Tsue","Retiro: ","Tanda: ")&amp;ROUND(AE36,3)&amp;" "&amp;F36&amp;". Acordar "&amp;INT(AE36/AK36)&amp;" o "&amp;ROUNDUP(AE36/AK36,0)&amp;IF(A36="Tsue"," envases de 5 L."," porciones de 500 g."))</f>
        <v/>
      </c>
      <c r="AH36">
        <f>IF(COUNTA(A36:E36,H36:I36,K36:L36,N36)=0,0,IF(OR(NOT(ISNUMBER(B36)),B36&lt;'Por semana'!$C$45,B36&gt;'Por semana'!$J$46+6),1,0))</f>
        <v>0</v>
      </c>
      <c r="AI36">
        <f t="shared" si="7"/>
        <v>38</v>
      </c>
      <c r="AJ36">
        <f t="shared" si="8"/>
        <v>1</v>
      </c>
      <c r="AK36">
        <f>IF(R36=0,0,IFERROR(INDEX(criterio!$J$11:$J$22,R36)+0,0))</f>
        <v>5</v>
      </c>
      <c r="AL36" t="str">
        <f t="shared" si="9"/>
        <v>Previsión</v>
      </c>
      <c r="AM36" t="str">
        <f t="shared" si="10"/>
        <v/>
      </c>
    </row>
    <row r="37" spans="1:39" ht="31" customHeight="1">
      <c r="A37" s="5" t="s">
        <v>49</v>
      </c>
      <c r="B37" s="19">
        <v>46367</v>
      </c>
      <c r="C37" s="19">
        <v>46371</v>
      </c>
      <c r="D37" s="19">
        <v>46372</v>
      </c>
      <c r="E37" s="19">
        <v>46387</v>
      </c>
      <c r="F37" s="4" t="str">
        <f>IF(R37=0,"",INDEX(criterio!$B$11:$B$22,R37))</f>
        <v>L</v>
      </c>
      <c r="G37" s="24">
        <f>IFERROR(IF(INDEX(criterio!$B$31:$B$111,MATCH(W37,criterio!$A$31:$A$111,0))=A37,INDEX(criterio!$C$31:$C$111,MATCH(W37,criterio!$A$31:$A$111,0)),""),"")</f>
        <v>7</v>
      </c>
      <c r="H37" s="26"/>
      <c r="I37" s="26"/>
      <c r="J37" s="28" t="str">
        <f t="shared" si="11"/>
        <v/>
      </c>
      <c r="K37" s="20"/>
      <c r="L37" s="21"/>
      <c r="M37" s="26"/>
      <c r="N37" s="26"/>
      <c r="O37" s="6" t="str">
        <f t="shared" si="0"/>
        <v>Previsión</v>
      </c>
      <c r="P37" s="6" t="str">
        <f>IFERROR(IF(AND(INDEX(criterio!$I$31:$I$111,MATCH(W37,criterio!$A$31:$A$111,0))=1,INDEX(criterio!$B$31:$B$111,MATCH(W37,criterio!$A$31:$A$111,0))=A37,ISNUMBER(B37),B37&gt;=criterio!$B$5,D37&lt;=criterio!$B$6,E37&gt;=criterio!$B$5),"Fuera de la previa del 20/12",""),"")</f>
        <v/>
      </c>
      <c r="Q37" s="22">
        <f t="shared" si="1"/>
        <v>46398</v>
      </c>
      <c r="R37">
        <f>IFERROR(MATCH(A37,criterio!$A$11:$A$22,0),0)</f>
        <v>9</v>
      </c>
      <c r="S37">
        <f>IF(R37=0,"",INDEX(criterio!$E$11:$E$22,R37))</f>
        <v>0</v>
      </c>
      <c r="T37">
        <f>IF(R37=0,"",INDEX(criterio!$C$11:$C$22,R37))</f>
        <v>1</v>
      </c>
      <c r="U37" t="str">
        <f>IF(R37=0,"",INDEX(criterio!$D$11:$D$22,R37))</f>
        <v>mes</v>
      </c>
      <c r="V37">
        <f>IF(AND(ISNUMBER(B37),B37=Turno!$B$3,OR(AL37="Preparar",AL37="Completar")),MAX($V$8:V36)+1,0)</f>
        <v>0</v>
      </c>
      <c r="W37" t="s">
        <v>74</v>
      </c>
      <c r="Y37" t="str">
        <f>IF(R37=0,"",INDEX(criterio!$I$11:$I$22,R37))</f>
        <v>Temperatura ambiente.</v>
      </c>
      <c r="Z37">
        <f t="shared" si="2"/>
        <v>7</v>
      </c>
      <c r="AA37" t="str">
        <f>IF(OR(A37="",COUNT(B37:C37)&lt;&gt;2),"",IF(OR(WEEKDAY(B37,2)&gt;5,COUNTIF(criterio!$B$25:$E$25,B37)&gt;0),"Cambiar día de elaboración",IF(OR(WEEKDAY(C37,2)&gt;5,COUNTIF(criterio!$B$25:$E$25,C37)&gt;0),"Cambiar día de retiro",IF(SUMIF($B$9:$B$128,B37,$AD$9:$AD$128)&gt;criterio!$D$26,"Más de dos recetas",IF(OR(A37="",NOT(ISNUMBER(B37))),"",IF(OR(NOT(ISNUMBER($Q$2)),NOT(ISNUMBER($Q$3)),$Q$2&lt;=0,$Q$3&lt;=0),"Revisar topes de carga",IF(SUMIFS($Z$9:$Z$128,$B$9:$B$128,B37,$F$9:$F$128,"kg")/$Q$2+SUMIFS($Z$9:$Z$128,$B$9:$B$128,B37,$F$9:$F$128,"L")/$Q$3&gt;1.000001,"Repartir carga del día","")))))))</f>
        <v/>
      </c>
      <c r="AB37" t="str">
        <f>IF(COUNTA(A37:E37,H37:I37,K37:N37)=0,"",IF(R37=0,"Elegir producto",IF(COUNT(B37:E37)&lt;&gt;4,"Completar fechas",IF(E37&lt;D37,"Revisar días de uso",IF(C37+criterio!$B$3&gt;D37,"El retiro llega tarde",IF(AND(N37&lt;&gt;"",OR(NOT(ISNUMBER(N37)),N37&lt;0)),"Revisar cantidad hecha",IF(AND(M37&lt;&gt;"",OR(NOT(ISNUMBER(M37)),M37&lt;0)),"Revisar cant. a adelantar",IF(AND(AND(ISBLANK(H37),L37="Adelanto"),NOT(ISNUMBER(AM37))),"Cargar cant. a adelantar",IF(AND(AND(ISBLANK(H37),L37="Adelanto"),I37&lt;&gt;"",OR(NOT(ISNUMBER(I37)),I37&lt;&gt;0)),"Revisar stock del adelanto",IF(AND(ISNUMBER(N37),N37&gt;0,L37&lt;&gt;"Sí",L37&lt;&gt;"Adelanto",N(M37)&lt;=0),"Hecho sin liberar",IF(AND(ISBLANK(H37),L37&lt;&gt;"Adelanto",OR(I37&lt;&gt;"",L37="Sí")),"Falta pedido real",IF(AND(H37&lt;&gt;"",OR(NOT(ISNUMBER(H37)),H37&lt;0)),"Revisar pedido",IF(AND(ISNUMBER(H37),H37=0,N(M37)&gt;0,N(N37)&gt;0,N(I37)=0),"Reasignar sobrante",IF(AND(ISNUMBER(H37),H37=0,OR(N37&gt;0,I37&gt;0)),"Revisar pedido y cantidades",IF(AND(ISNUMBER(H37),H37=0),"Sin pedido",IF(AND(ISNUMBER(H37),ISBLANK(I37)),"Falta anotar stock",IF(AND(I37&lt;&gt;"",OR(NOT(ISNUMBER(I37)),I37&lt;0,AND(ISNUMBER(H37),I37&gt;H37))),"Revisar stock asignado",IF(AND(ISNUMBER(I37),I37&gt;0,NOT(ISNUMBER(K37))),"Falta vencimiento de stock",IF(AND(ISNUMBER(I37),I37&gt;0,K37&lt;E37+criterio!$B$4),"El stock no cubre el uso",IF(AND(ISNUMBER(H37),ISNUMBER(I37),H37=I37,OR(N37="",N37=0)),"Cubierto con stock",IF(B37=criterio!$B$25,"Jornada bloqueada",IF(B37+S37&gt;C37,"No llega al retiro",IF(Q37&lt;E37,"Vence antes del último uso",IF(Q37&lt;E37+criterio!$B$4,"Falta margen de vida útil",IF(AND(ISBLANK(H37),L37&lt;&gt;"Adelanto",N(N37)&gt;0,N(M37)&gt;0),"Adelanto en pausa",IF(NOT(ISNUMBER(AM37)),"Previsión",IF(AND(ISNUMBER(H37),N(M37)&gt;0,N(N37)&gt;ROUND(H37-N(I37),3)),"Reasignar sobrante",IF(AND(ISNUMBER(N37),N37&gt;ROUND(AM37-N(I37),3)),"Revisar excedente",IF(AND(ISNUMBER(H37),L37&lt;&gt;"Sí",NOT(AND(N(M37)&gt;0,J37=0))),"Por confirmar",IF(J37=0,"Hecho",IF(AND(ISNUMBER(N37),N37&gt;0),"Completar","Preparar")))))))))))))))))))))))))))))))</f>
        <v>Previsión</v>
      </c>
      <c r="AC37">
        <f t="shared" si="3"/>
        <v>0</v>
      </c>
      <c r="AD37">
        <f>IF(OR(NOT(ISNUMBER(B37)),A37="",NOT(ISNUMBER(Z37)),Z37&lt;=0),0,IF(COUNTIFS($A$9:A37,A37,$B$9:B37,B37,$Z$9:Z37,"&gt;0")=1,1,0))</f>
        <v>1</v>
      </c>
      <c r="AE37">
        <f t="shared" si="4"/>
        <v>0</v>
      </c>
      <c r="AF37">
        <f t="shared" si="5"/>
        <v>0</v>
      </c>
      <c r="AG37" t="str">
        <f>IF(OR(AF37=0,AK37&lt;=0),"",IF(A37="Tsue","Retiro: ","Tanda: ")&amp;ROUND(AE37,3)&amp;" "&amp;F37&amp;". Acordar "&amp;INT(AE37/AK37)&amp;" o "&amp;ROUNDUP(AE37/AK37,0)&amp;IF(A37="Tsue"," envases de 5 L."," porciones de 500 g."))</f>
        <v/>
      </c>
      <c r="AH37">
        <f>IF(COUNTA(A37:E37,H37:I37,K37:L37,N37)=0,0,IF(OR(NOT(ISNUMBER(B37)),B37&lt;'Por semana'!$C$45,B37&gt;'Por semana'!$J$46+6),1,0))</f>
        <v>0</v>
      </c>
      <c r="AI37">
        <f t="shared" si="7"/>
        <v>7</v>
      </c>
      <c r="AJ37">
        <f t="shared" si="8"/>
        <v>1</v>
      </c>
      <c r="AK37">
        <f>IF(R37=0,0,IFERROR(INDEX(criterio!$J$11:$J$22,R37)+0,0))</f>
        <v>0</v>
      </c>
      <c r="AL37" t="str">
        <f t="shared" si="9"/>
        <v>Previsión</v>
      </c>
      <c r="AM37" t="str">
        <f t="shared" si="10"/>
        <v/>
      </c>
    </row>
    <row r="38" spans="1:39" ht="31" customHeight="1">
      <c r="A38" s="5" t="s">
        <v>49</v>
      </c>
      <c r="B38" s="19">
        <v>46367</v>
      </c>
      <c r="C38" s="19">
        <v>46386</v>
      </c>
      <c r="D38" s="19">
        <v>46388</v>
      </c>
      <c r="E38" s="19">
        <v>46395</v>
      </c>
      <c r="F38" s="4" t="str">
        <f>IF(R38=0,"",INDEX(criterio!$B$11:$B$22,R38))</f>
        <v>L</v>
      </c>
      <c r="G38" s="24">
        <f>IFERROR(IF(INDEX(criterio!$B$31:$B$111,MATCH(W38,criterio!$A$31:$A$111,0))=A38,INDEX(criterio!$C$31:$C$111,MATCH(W38,criterio!$A$31:$A$111,0)),""),"")</f>
        <v>8</v>
      </c>
      <c r="H38" s="26"/>
      <c r="I38" s="26"/>
      <c r="J38" s="28" t="str">
        <f t="shared" si="11"/>
        <v/>
      </c>
      <c r="K38" s="20"/>
      <c r="L38" s="21"/>
      <c r="M38" s="26"/>
      <c r="N38" s="26"/>
      <c r="O38" s="6" t="str">
        <f t="shared" si="0"/>
        <v>Previsión</v>
      </c>
      <c r="P38" s="6" t="str">
        <f>IFERROR(IF(AND(INDEX(criterio!$I$31:$I$111,MATCH(W38,criterio!$A$31:$A$111,0))=1,INDEX(criterio!$B$31:$B$111,MATCH(W38,criterio!$A$31:$A$111,0))=A38,ISNUMBER(B38),B38&gt;=criterio!$B$5,D38&lt;=criterio!$B$6,E38&gt;=criterio!$B$5),"Fuera de la previa del 20/12",""),"")</f>
        <v/>
      </c>
      <c r="Q38" s="22">
        <f t="shared" si="1"/>
        <v>46398</v>
      </c>
      <c r="R38">
        <f>IFERROR(MATCH(A38,criterio!$A$11:$A$22,0),0)</f>
        <v>9</v>
      </c>
      <c r="S38">
        <f>IF(R38=0,"",INDEX(criterio!$E$11:$E$22,R38))</f>
        <v>0</v>
      </c>
      <c r="T38">
        <f>IF(R38=0,"",INDEX(criterio!$C$11:$C$22,R38))</f>
        <v>1</v>
      </c>
      <c r="U38" t="str">
        <f>IF(R38=0,"",INDEX(criterio!$D$11:$D$22,R38))</f>
        <v>mes</v>
      </c>
      <c r="V38">
        <f>IF(AND(ISNUMBER(B38),B38=Turno!$B$3,OR(AL38="Preparar",AL38="Completar")),MAX($V$8:V37)+1,0)</f>
        <v>0</v>
      </c>
      <c r="W38" t="s">
        <v>75</v>
      </c>
      <c r="Y38" t="str">
        <f>IF(R38=0,"",INDEX(criterio!$I$11:$I$22,R38))</f>
        <v>Temperatura ambiente.</v>
      </c>
      <c r="Z38">
        <f t="shared" si="2"/>
        <v>8</v>
      </c>
      <c r="AA38" t="str">
        <f>IF(OR(A38="",COUNT(B38:C38)&lt;&gt;2),"",IF(OR(WEEKDAY(B38,2)&gt;5,COUNTIF(criterio!$B$25:$E$25,B38)&gt;0),"Cambiar día de elaboración",IF(OR(WEEKDAY(C38,2)&gt;5,COUNTIF(criterio!$B$25:$E$25,C38)&gt;0),"Cambiar día de retiro",IF(SUMIF($B$9:$B$128,B38,$AD$9:$AD$128)&gt;criterio!$D$26,"Más de dos recetas",IF(OR(A38="",NOT(ISNUMBER(B38))),"",IF(OR(NOT(ISNUMBER($Q$2)),NOT(ISNUMBER($Q$3)),$Q$2&lt;=0,$Q$3&lt;=0),"Revisar topes de carga",IF(SUMIFS($Z$9:$Z$128,$B$9:$B$128,B38,$F$9:$F$128,"kg")/$Q$2+SUMIFS($Z$9:$Z$128,$B$9:$B$128,B38,$F$9:$F$128,"L")/$Q$3&gt;1.000001,"Repartir carga del día","")))))))</f>
        <v/>
      </c>
      <c r="AB38" t="str">
        <f>IF(COUNTA(A38:E38,H38:I38,K38:N38)=0,"",IF(R38=0,"Elegir producto",IF(COUNT(B38:E38)&lt;&gt;4,"Completar fechas",IF(E38&lt;D38,"Revisar días de uso",IF(C38+criterio!$B$3&gt;D38,"El retiro llega tarde",IF(AND(N38&lt;&gt;"",OR(NOT(ISNUMBER(N38)),N38&lt;0)),"Revisar cantidad hecha",IF(AND(M38&lt;&gt;"",OR(NOT(ISNUMBER(M38)),M38&lt;0)),"Revisar cant. a adelantar",IF(AND(AND(ISBLANK(H38),L38="Adelanto"),NOT(ISNUMBER(AM38))),"Cargar cant. a adelantar",IF(AND(AND(ISBLANK(H38),L38="Adelanto"),I38&lt;&gt;"",OR(NOT(ISNUMBER(I38)),I38&lt;&gt;0)),"Revisar stock del adelanto",IF(AND(ISNUMBER(N38),N38&gt;0,L38&lt;&gt;"Sí",L38&lt;&gt;"Adelanto",N(M38)&lt;=0),"Hecho sin liberar",IF(AND(ISBLANK(H38),L38&lt;&gt;"Adelanto",OR(I38&lt;&gt;"",L38="Sí")),"Falta pedido real",IF(AND(H38&lt;&gt;"",OR(NOT(ISNUMBER(H38)),H38&lt;0)),"Revisar pedido",IF(AND(ISNUMBER(H38),H38=0,N(M38)&gt;0,N(N38)&gt;0,N(I38)=0),"Reasignar sobrante",IF(AND(ISNUMBER(H38),H38=0,OR(N38&gt;0,I38&gt;0)),"Revisar pedido y cantidades",IF(AND(ISNUMBER(H38),H38=0),"Sin pedido",IF(AND(ISNUMBER(H38),ISBLANK(I38)),"Falta anotar stock",IF(AND(I38&lt;&gt;"",OR(NOT(ISNUMBER(I38)),I38&lt;0,AND(ISNUMBER(H38),I38&gt;H38))),"Revisar stock asignado",IF(AND(ISNUMBER(I38),I38&gt;0,NOT(ISNUMBER(K38))),"Falta vencimiento de stock",IF(AND(ISNUMBER(I38),I38&gt;0,K38&lt;E38+criterio!$B$4),"El stock no cubre el uso",IF(AND(ISNUMBER(H38),ISNUMBER(I38),H38=I38,OR(N38="",N38=0)),"Cubierto con stock",IF(B38=criterio!$B$25,"Jornada bloqueada",IF(B38+S38&gt;C38,"No llega al retiro",IF(Q38&lt;E38,"Vence antes del último uso",IF(Q38&lt;E38+criterio!$B$4,"Falta margen de vida útil",IF(AND(ISBLANK(H38),L38&lt;&gt;"Adelanto",N(N38)&gt;0,N(M38)&gt;0),"Adelanto en pausa",IF(NOT(ISNUMBER(AM38)),"Previsión",IF(AND(ISNUMBER(H38),N(M38)&gt;0,N(N38)&gt;ROUND(H38-N(I38),3)),"Reasignar sobrante",IF(AND(ISNUMBER(N38),N38&gt;ROUND(AM38-N(I38),3)),"Revisar excedente",IF(AND(ISNUMBER(H38),L38&lt;&gt;"Sí",NOT(AND(N(M38)&gt;0,J38=0))),"Por confirmar",IF(J38=0,"Hecho",IF(AND(ISNUMBER(N38),N38&gt;0),"Completar","Preparar")))))))))))))))))))))))))))))))</f>
        <v>Previsión</v>
      </c>
      <c r="AC38">
        <f t="shared" si="3"/>
        <v>0</v>
      </c>
      <c r="AD38">
        <f>IF(OR(NOT(ISNUMBER(B38)),A38="",NOT(ISNUMBER(Z38)),Z38&lt;=0),0,IF(COUNTIFS($A$9:A38,A38,$B$9:B38,B38,$Z$9:Z38,"&gt;0")=1,1,0))</f>
        <v>0</v>
      </c>
      <c r="AE38">
        <f t="shared" si="4"/>
        <v>0</v>
      </c>
      <c r="AF38">
        <f t="shared" si="5"/>
        <v>0</v>
      </c>
      <c r="AG38" t="str">
        <f>IF(OR(AF38=0,AK38&lt;=0),"",IF(A38="Tsue","Retiro: ","Tanda: ")&amp;ROUND(AE38,3)&amp;" "&amp;F38&amp;". Acordar "&amp;INT(AE38/AK38)&amp;" o "&amp;ROUNDUP(AE38/AK38,0)&amp;IF(A38="Tsue"," envases de 5 L."," porciones de 500 g."))</f>
        <v/>
      </c>
      <c r="AH38">
        <f>IF(COUNTA(A38:E38,H38:I38,K38:L38,N38)=0,0,IF(OR(NOT(ISNUMBER(B38)),B38&lt;'Por semana'!$C$45,B38&gt;'Por semana'!$J$46+6),1,0))</f>
        <v>0</v>
      </c>
      <c r="AI38">
        <f t="shared" si="7"/>
        <v>8</v>
      </c>
      <c r="AJ38">
        <f t="shared" si="8"/>
        <v>1</v>
      </c>
      <c r="AK38">
        <f>IF(R38=0,0,IFERROR(INDEX(criterio!$J$11:$J$22,R38)+0,0))</f>
        <v>0</v>
      </c>
      <c r="AL38" t="str">
        <f t="shared" si="9"/>
        <v>Previsión</v>
      </c>
      <c r="AM38" t="str">
        <f t="shared" si="10"/>
        <v/>
      </c>
    </row>
    <row r="39" spans="1:39" ht="31" customHeight="1">
      <c r="A39" s="5" t="s">
        <v>53</v>
      </c>
      <c r="B39" s="19">
        <v>46367</v>
      </c>
      <c r="C39" s="19">
        <v>46371</v>
      </c>
      <c r="D39" s="19">
        <v>46372</v>
      </c>
      <c r="E39" s="19">
        <v>46387</v>
      </c>
      <c r="F39" s="4" t="str">
        <f>IF(R39=0,"",INDEX(criterio!$B$11:$B$22,R39))</f>
        <v>kg</v>
      </c>
      <c r="G39" s="23">
        <f>IFERROR(IF(INDEX(criterio!$B$31:$B$111,MATCH(W39,criterio!$A$31:$A$111,0))=A39,INDEX(criterio!$C$31:$C$111,MATCH(W39,criterio!$A$31:$A$111,0)),""),"")</f>
        <v>12</v>
      </c>
      <c r="H39" s="25"/>
      <c r="I39" s="25"/>
      <c r="J39" s="27" t="str">
        <f t="shared" si="11"/>
        <v/>
      </c>
      <c r="K39" s="20"/>
      <c r="L39" s="21"/>
      <c r="M39" s="25"/>
      <c r="N39" s="25"/>
      <c r="O39" s="6" t="str">
        <f t="shared" si="0"/>
        <v>Previsión</v>
      </c>
      <c r="P39" s="6" t="str">
        <f>IFERROR(IF(AND(INDEX(criterio!$I$31:$I$111,MATCH(W39,criterio!$A$31:$A$111,0))=1,INDEX(criterio!$B$31:$B$111,MATCH(W39,criterio!$A$31:$A$111,0))=A39,ISNUMBER(B39),B39&gt;=criterio!$B$5,D39&lt;=criterio!$B$6,E39&gt;=criterio!$B$5),"Fuera de la previa del 20/12",""),"")</f>
        <v/>
      </c>
      <c r="Q39" s="22">
        <f t="shared" si="1"/>
        <v>46397</v>
      </c>
      <c r="R39">
        <f>IFERROR(MATCH(A39,criterio!$A$11:$A$22,0),0)</f>
        <v>6</v>
      </c>
      <c r="S39">
        <f>IF(R39=0,"",INDEX(criterio!$E$11:$E$22,R39))</f>
        <v>0</v>
      </c>
      <c r="T39">
        <f>IF(R39=0,"",INDEX(criterio!$C$11:$C$22,R39))</f>
        <v>30</v>
      </c>
      <c r="U39" t="str">
        <f>IF(R39=0,"",INDEX(criterio!$D$11:$D$22,R39))</f>
        <v>días</v>
      </c>
      <c r="V39">
        <f>IF(AND(ISNUMBER(B39),B39=Turno!$B$3,OR(AL39="Preparar",AL39="Completar")),MAX($V$8:V38)+1,0)</f>
        <v>0</v>
      </c>
      <c r="W39" t="s">
        <v>76</v>
      </c>
      <c r="Y39" t="str">
        <f>IF(R39=0,"",INDEX(criterio!$I$11:$I$22,R39))</f>
        <v>Heladera 0–5 °C.
Abierto en topinera: 7 días, sin superar vencimiento.</v>
      </c>
      <c r="Z39">
        <f t="shared" si="2"/>
        <v>12</v>
      </c>
      <c r="AA39" t="str">
        <f>IF(OR(A39="",COUNT(B39:C39)&lt;&gt;2),"",IF(OR(WEEKDAY(B39,2)&gt;5,COUNTIF(criterio!$B$25:$E$25,B39)&gt;0),"Cambiar día de elaboración",IF(OR(WEEKDAY(C39,2)&gt;5,COUNTIF(criterio!$B$25:$E$25,C39)&gt;0),"Cambiar día de retiro",IF(SUMIF($B$9:$B$128,B39,$AD$9:$AD$128)&gt;criterio!$D$26,"Más de dos recetas",IF(OR(A39="",NOT(ISNUMBER(B39))),"",IF(OR(NOT(ISNUMBER($Q$2)),NOT(ISNUMBER($Q$3)),$Q$2&lt;=0,$Q$3&lt;=0),"Revisar topes de carga",IF(SUMIFS($Z$9:$Z$128,$B$9:$B$128,B39,$F$9:$F$128,"kg")/$Q$2+SUMIFS($Z$9:$Z$128,$B$9:$B$128,B39,$F$9:$F$128,"L")/$Q$3&gt;1.000001,"Repartir carga del día","")))))))</f>
        <v/>
      </c>
      <c r="AB39" t="str">
        <f>IF(COUNTA(A39:E39,H39:I39,K39:N39)=0,"",IF(R39=0,"Elegir producto",IF(COUNT(B39:E39)&lt;&gt;4,"Completar fechas",IF(E39&lt;D39,"Revisar días de uso",IF(C39+criterio!$B$3&gt;D39,"El retiro llega tarde",IF(AND(N39&lt;&gt;"",OR(NOT(ISNUMBER(N39)),N39&lt;0)),"Revisar cantidad hecha",IF(AND(M39&lt;&gt;"",OR(NOT(ISNUMBER(M39)),M39&lt;0)),"Revisar cant. a adelantar",IF(AND(AND(ISBLANK(H39),L39="Adelanto"),NOT(ISNUMBER(AM39))),"Cargar cant. a adelantar",IF(AND(AND(ISBLANK(H39),L39="Adelanto"),I39&lt;&gt;"",OR(NOT(ISNUMBER(I39)),I39&lt;&gt;0)),"Revisar stock del adelanto",IF(AND(ISNUMBER(N39),N39&gt;0,L39&lt;&gt;"Sí",L39&lt;&gt;"Adelanto",N(M39)&lt;=0),"Hecho sin liberar",IF(AND(ISBLANK(H39),L39&lt;&gt;"Adelanto",OR(I39&lt;&gt;"",L39="Sí")),"Falta pedido real",IF(AND(H39&lt;&gt;"",OR(NOT(ISNUMBER(H39)),H39&lt;0)),"Revisar pedido",IF(AND(ISNUMBER(H39),H39=0,N(M39)&gt;0,N(N39)&gt;0,N(I39)=0),"Reasignar sobrante",IF(AND(ISNUMBER(H39),H39=0,OR(N39&gt;0,I39&gt;0)),"Revisar pedido y cantidades",IF(AND(ISNUMBER(H39),H39=0),"Sin pedido",IF(AND(ISNUMBER(H39),ISBLANK(I39)),"Falta anotar stock",IF(AND(I39&lt;&gt;"",OR(NOT(ISNUMBER(I39)),I39&lt;0,AND(ISNUMBER(H39),I39&gt;H39))),"Revisar stock asignado",IF(AND(ISNUMBER(I39),I39&gt;0,NOT(ISNUMBER(K39))),"Falta vencimiento de stock",IF(AND(ISNUMBER(I39),I39&gt;0,K39&lt;E39+criterio!$B$4),"El stock no cubre el uso",IF(AND(ISNUMBER(H39),ISNUMBER(I39),H39=I39,OR(N39="",N39=0)),"Cubierto con stock",IF(B39=criterio!$B$25,"Jornada bloqueada",IF(B39+S39&gt;C39,"No llega al retiro",IF(Q39&lt;E39,"Vence antes del último uso",IF(Q39&lt;E39+criterio!$B$4,"Falta margen de vida útil",IF(AND(ISBLANK(H39),L39&lt;&gt;"Adelanto",N(N39)&gt;0,N(M39)&gt;0),"Adelanto en pausa",IF(NOT(ISNUMBER(AM39)),"Previsión",IF(AND(ISNUMBER(H39),N(M39)&gt;0,N(N39)&gt;ROUND(H39-N(I39),3)),"Reasignar sobrante",IF(AND(ISNUMBER(N39),N39&gt;ROUND(AM39-N(I39),3)),"Revisar excedente",IF(AND(ISNUMBER(H39),L39&lt;&gt;"Sí",NOT(AND(N(M39)&gt;0,J39=0))),"Por confirmar",IF(J39=0,"Hecho",IF(AND(ISNUMBER(N39),N39&gt;0),"Completar","Preparar")))))))))))))))))))))))))))))))</f>
        <v>Previsión</v>
      </c>
      <c r="AC39">
        <f t="shared" si="3"/>
        <v>0</v>
      </c>
      <c r="AD39">
        <f>IF(OR(NOT(ISNUMBER(B39)),A39="",NOT(ISNUMBER(Z39)),Z39&lt;=0),0,IF(COUNTIFS($A$9:A39,A39,$B$9:B39,B39,$Z$9:Z39,"&gt;0")=1,1,0))</f>
        <v>1</v>
      </c>
      <c r="AE39">
        <f t="shared" si="4"/>
        <v>0</v>
      </c>
      <c r="AF39">
        <f t="shared" si="5"/>
        <v>0</v>
      </c>
      <c r="AG39" t="str">
        <f>IF(OR(AF39=0,AK39&lt;=0),"",IF(A39="Tsue","Retiro: ","Tanda: ")&amp;ROUND(AE39,3)&amp;" "&amp;F39&amp;". Acordar "&amp;INT(AE39/AK39)&amp;" o "&amp;ROUNDUP(AE39/AK39,0)&amp;IF(A39="Tsue"," envases de 5 L."," porciones de 500 g."))</f>
        <v/>
      </c>
      <c r="AH39">
        <f>IF(COUNTA(A39:E39,H39:I39,K39:L39,N39)=0,0,IF(OR(NOT(ISNUMBER(B39)),B39&lt;'Por semana'!$C$45,B39&gt;'Por semana'!$J$46+6),1,0))</f>
        <v>0</v>
      </c>
      <c r="AI39">
        <f t="shared" si="7"/>
        <v>12</v>
      </c>
      <c r="AJ39">
        <f t="shared" si="8"/>
        <v>1</v>
      </c>
      <c r="AK39">
        <f>IF(R39=0,0,IFERROR(INDEX(criterio!$J$11:$J$22,R39)+0,0))</f>
        <v>0</v>
      </c>
      <c r="AL39" t="str">
        <f t="shared" si="9"/>
        <v>Previsión</v>
      </c>
      <c r="AM39" t="str">
        <f t="shared" si="10"/>
        <v/>
      </c>
    </row>
    <row r="40" spans="1:39" ht="31" customHeight="1">
      <c r="A40" s="5" t="s">
        <v>65</v>
      </c>
      <c r="B40" s="19">
        <v>46370</v>
      </c>
      <c r="C40" s="19">
        <v>46386</v>
      </c>
      <c r="D40" s="19">
        <v>46388</v>
      </c>
      <c r="E40" s="19">
        <v>46395</v>
      </c>
      <c r="F40" s="4" t="str">
        <f>IF(R40=0,"",INDEX(criterio!$B$11:$B$22,R40))</f>
        <v>kg</v>
      </c>
      <c r="G40" s="23">
        <f>IFERROR(IF(INDEX(criterio!$B$31:$B$111,MATCH(W40,criterio!$A$31:$A$111,0))=A40,INDEX(criterio!$C$31:$C$111,MATCH(W40,criterio!$A$31:$A$111,0)),""),"")</f>
        <v>20</v>
      </c>
      <c r="H40" s="25"/>
      <c r="I40" s="25"/>
      <c r="J40" s="27" t="str">
        <f t="shared" si="11"/>
        <v/>
      </c>
      <c r="K40" s="20"/>
      <c r="L40" s="21"/>
      <c r="M40" s="25"/>
      <c r="N40" s="25"/>
      <c r="O40" s="6" t="str">
        <f t="shared" si="0"/>
        <v>Previsión</v>
      </c>
      <c r="P40" s="6" t="str">
        <f>IFERROR(IF(AND(INDEX(criterio!$I$31:$I$111,MATCH(W40,criterio!$A$31:$A$111,0))=1,INDEX(criterio!$B$31:$B$111,MATCH(W40,criterio!$A$31:$A$111,0))=A40,ISNUMBER(B40),B40&gt;=criterio!$B$5,D40&lt;=criterio!$B$6,E40&gt;=criterio!$B$5),"Fuera de la previa del 20/12",""),"")</f>
        <v/>
      </c>
      <c r="Q40" s="22">
        <f t="shared" si="1"/>
        <v>46400</v>
      </c>
      <c r="R40">
        <f>IFERROR(MATCH(A40,criterio!$A$11:$A$22,0),0)</f>
        <v>7</v>
      </c>
      <c r="S40">
        <f>IF(R40=0,"",INDEX(criterio!$E$11:$E$22,R40))</f>
        <v>1</v>
      </c>
      <c r="T40">
        <f>IF(R40=0,"",INDEX(criterio!$C$11:$C$22,R40))</f>
        <v>30</v>
      </c>
      <c r="U40" t="str">
        <f>IF(R40=0,"",INDEX(criterio!$D$11:$D$22,R40))</f>
        <v>días</v>
      </c>
      <c r="V40">
        <f>IF(AND(ISNUMBER(B40),B40=Turno!$B$3,OR(AL40="Preparar",AL40="Completar")),MAX($V$8:V39)+1,0)</f>
        <v>0</v>
      </c>
      <c r="W40" t="s">
        <v>77</v>
      </c>
      <c r="Y40" t="str">
        <f>IF(R40=0,"",INDEX(criterio!$I$11:$I$22,R40))</f>
        <v>Heladera 0–5 °C. Marinar 24 h.
Abierto: 7 días, sin superar vencimiento.</v>
      </c>
      <c r="Z40">
        <f t="shared" si="2"/>
        <v>20</v>
      </c>
      <c r="AA40" t="str">
        <f>IF(OR(A40="",COUNT(B40:C40)&lt;&gt;2),"",IF(OR(WEEKDAY(B40,2)&gt;5,COUNTIF(criterio!$B$25:$E$25,B40)&gt;0),"Cambiar día de elaboración",IF(OR(WEEKDAY(C40,2)&gt;5,COUNTIF(criterio!$B$25:$E$25,C40)&gt;0),"Cambiar día de retiro",IF(SUMIF($B$9:$B$128,B40,$AD$9:$AD$128)&gt;criterio!$D$26,"Más de dos recetas",IF(OR(A40="",NOT(ISNUMBER(B40))),"",IF(OR(NOT(ISNUMBER($Q$2)),NOT(ISNUMBER($Q$3)),$Q$2&lt;=0,$Q$3&lt;=0),"Revisar topes de carga",IF(SUMIFS($Z$9:$Z$128,$B$9:$B$128,B40,$F$9:$F$128,"kg")/$Q$2+SUMIFS($Z$9:$Z$128,$B$9:$B$128,B40,$F$9:$F$128,"L")/$Q$3&gt;1.000001,"Repartir carga del día","")))))))</f>
        <v/>
      </c>
      <c r="AB40" t="str">
        <f>IF(COUNTA(A40:E40,H40:I40,K40:N40)=0,"",IF(R40=0,"Elegir producto",IF(COUNT(B40:E40)&lt;&gt;4,"Completar fechas",IF(E40&lt;D40,"Revisar días de uso",IF(C40+criterio!$B$3&gt;D40,"El retiro llega tarde",IF(AND(N40&lt;&gt;"",OR(NOT(ISNUMBER(N40)),N40&lt;0)),"Revisar cantidad hecha",IF(AND(M40&lt;&gt;"",OR(NOT(ISNUMBER(M40)),M40&lt;0)),"Revisar cant. a adelantar",IF(AND(AND(ISBLANK(H40),L40="Adelanto"),NOT(ISNUMBER(AM40))),"Cargar cant. a adelantar",IF(AND(AND(ISBLANK(H40),L40="Adelanto"),I40&lt;&gt;"",OR(NOT(ISNUMBER(I40)),I40&lt;&gt;0)),"Revisar stock del adelanto",IF(AND(ISNUMBER(N40),N40&gt;0,L40&lt;&gt;"Sí",L40&lt;&gt;"Adelanto",N(M40)&lt;=0),"Hecho sin liberar",IF(AND(ISBLANK(H40),L40&lt;&gt;"Adelanto",OR(I40&lt;&gt;"",L40="Sí")),"Falta pedido real",IF(AND(H40&lt;&gt;"",OR(NOT(ISNUMBER(H40)),H40&lt;0)),"Revisar pedido",IF(AND(ISNUMBER(H40),H40=0,N(M40)&gt;0,N(N40)&gt;0,N(I40)=0),"Reasignar sobrante",IF(AND(ISNUMBER(H40),H40=0,OR(N40&gt;0,I40&gt;0)),"Revisar pedido y cantidades",IF(AND(ISNUMBER(H40),H40=0),"Sin pedido",IF(AND(ISNUMBER(H40),ISBLANK(I40)),"Falta anotar stock",IF(AND(I40&lt;&gt;"",OR(NOT(ISNUMBER(I40)),I40&lt;0,AND(ISNUMBER(H40),I40&gt;H40))),"Revisar stock asignado",IF(AND(ISNUMBER(I40),I40&gt;0,NOT(ISNUMBER(K40))),"Falta vencimiento de stock",IF(AND(ISNUMBER(I40),I40&gt;0,K40&lt;E40+criterio!$B$4),"El stock no cubre el uso",IF(AND(ISNUMBER(H40),ISNUMBER(I40),H40=I40,OR(N40="",N40=0)),"Cubierto con stock",IF(B40=criterio!$B$25,"Jornada bloqueada",IF(B40+S40&gt;C40,"No llega al retiro",IF(Q40&lt;E40,"Vence antes del último uso",IF(Q40&lt;E40+criterio!$B$4,"Falta margen de vida útil",IF(AND(ISBLANK(H40),L40&lt;&gt;"Adelanto",N(N40)&gt;0,N(M40)&gt;0),"Adelanto en pausa",IF(NOT(ISNUMBER(AM40)),"Previsión",IF(AND(ISNUMBER(H40),N(M40)&gt;0,N(N40)&gt;ROUND(H40-N(I40),3)),"Reasignar sobrante",IF(AND(ISNUMBER(N40),N40&gt;ROUND(AM40-N(I40),3)),"Revisar excedente",IF(AND(ISNUMBER(H40),L40&lt;&gt;"Sí",NOT(AND(N(M40)&gt;0,J40=0))),"Por confirmar",IF(J40=0,"Hecho",IF(AND(ISNUMBER(N40),N40&gt;0),"Completar","Preparar")))))))))))))))))))))))))))))))</f>
        <v>Previsión</v>
      </c>
      <c r="AC40">
        <f t="shared" si="3"/>
        <v>0</v>
      </c>
      <c r="AD40">
        <f>IF(OR(NOT(ISNUMBER(B40)),A40="",NOT(ISNUMBER(Z40)),Z40&lt;=0),0,IF(COUNTIFS($A$9:A40,A40,$B$9:B40,B40,$Z$9:Z40,"&gt;0")=1,1,0))</f>
        <v>1</v>
      </c>
      <c r="AE40">
        <f t="shared" si="4"/>
        <v>0</v>
      </c>
      <c r="AF40">
        <f t="shared" si="5"/>
        <v>0</v>
      </c>
      <c r="AG40" t="str">
        <f>IF(OR(AF40=0,AK40&lt;=0),"",IF(A40="Tsue","Retiro: ","Tanda: ")&amp;ROUND(AE40,3)&amp;" "&amp;F40&amp;". Acordar "&amp;INT(AE40/AK40)&amp;" o "&amp;ROUNDUP(AE40/AK40,0)&amp;IF(A40="Tsue"," envases de 5 L."," porciones de 500 g."))</f>
        <v/>
      </c>
      <c r="AH40">
        <f>IF(COUNTA(A40:E40,H40:I40,K40:L40,N40)=0,0,IF(OR(NOT(ISNUMBER(B40)),B40&lt;'Por semana'!$C$45,B40&gt;'Por semana'!$J$46+6),1,0))</f>
        <v>0</v>
      </c>
      <c r="AI40">
        <f t="shared" si="7"/>
        <v>20</v>
      </c>
      <c r="AJ40">
        <f t="shared" si="8"/>
        <v>1</v>
      </c>
      <c r="AK40">
        <f>IF(R40=0,0,IFERROR(INDEX(criterio!$J$11:$J$22,R40)+0,0))</f>
        <v>0</v>
      </c>
      <c r="AL40" t="str">
        <f t="shared" si="9"/>
        <v>Previsión</v>
      </c>
      <c r="AM40" t="str">
        <f t="shared" si="10"/>
        <v/>
      </c>
    </row>
    <row r="41" spans="1:39" ht="31" customHeight="1">
      <c r="A41" s="5" t="s">
        <v>59</v>
      </c>
      <c r="B41" s="19">
        <v>46370</v>
      </c>
      <c r="C41" s="19">
        <v>46370</v>
      </c>
      <c r="D41" s="19">
        <v>46371</v>
      </c>
      <c r="E41" s="19">
        <v>46377</v>
      </c>
      <c r="F41" s="4" t="str">
        <f>IF(R41=0,"",INDEX(criterio!$B$11:$B$22,R41))</f>
        <v>kg</v>
      </c>
      <c r="G41" s="23">
        <f>IFERROR(IF(INDEX(criterio!$B$31:$B$111,MATCH(W41,criterio!$A$31:$A$111,0))=A41,INDEX(criterio!$C$31:$C$111,MATCH(W41,criterio!$A$31:$A$111,0)),""),"")</f>
        <v>3.7080000000000002</v>
      </c>
      <c r="H41" s="25"/>
      <c r="I41" s="25"/>
      <c r="J41" s="27" t="str">
        <f t="shared" ref="J41:J72" si="12">IF(AND(ISNUMBER(AM41),OR(ISBLANK(H41),ISNUMBER(I41))),MAX(0,ROUND(AM41-IF(ISBLANK(H41),0,N(I41))-N(N41),3)),"")</f>
        <v/>
      </c>
      <c r="K41" s="20"/>
      <c r="L41" s="21"/>
      <c r="M41" s="25"/>
      <c r="N41" s="25"/>
      <c r="O41" s="6" t="str">
        <f t="shared" ref="O41:O72" si="13">IF(AL41="Reasignar sobrante","Sobran "&amp;ROUND(N41-MAX(0,H41-N(I41)),3)&amp;" "&amp;F41&amp;" para stock",IF(AND(ISNUMBER(H41),L41="Adelanto",AL41="Por confirmar"),IF(J41&gt;0,IF(J41=1,"Falta ","Faltan ")&amp;ROUND(J41,3)&amp;" "&amp;F41&amp;". Elegí «Sí»"&amp;CHAR(10)&amp;"en «¿Mandar a preparar?».","No falta producir."),IF(AL41="Acordar envases",AL41&amp;" ("&amp;INT(AE41/AK41)&amp;" o "&amp;ROUNDUP(AE41/AK41,0)&amp;")",AL41)&amp;IF(P41="","",CHAR(10)&amp;"Adelanto movido al pico")))</f>
        <v>Previsión</v>
      </c>
      <c r="P41" s="6" t="str">
        <f>IFERROR(IF(AND(INDEX(criterio!$I$31:$I$111,MATCH(W41,criterio!$A$31:$A$111,0))=1,INDEX(criterio!$B$31:$B$111,MATCH(W41,criterio!$A$31:$A$111,0))=A41,ISNUMBER(B41),B41&gt;=criterio!$B$5,D41&lt;=criterio!$B$6,E41&gt;=criterio!$B$5),"Fuera de la previa del 20/12",""),"")</f>
        <v/>
      </c>
      <c r="Q41" s="22">
        <f t="shared" ref="Q41:Q72" si="14">IF(AND(R41&gt;0,ISNUMBER(B41)),IF(U41="mes",EDATE(B41,T41),B41+T41),"")</f>
        <v>46380</v>
      </c>
      <c r="R41">
        <f>IFERROR(MATCH(A41,criterio!$A$11:$A$22,0),0)</f>
        <v>12</v>
      </c>
      <c r="S41">
        <f>IF(R41=0,"",INDEX(criterio!$E$11:$E$22,R41))</f>
        <v>0</v>
      </c>
      <c r="T41">
        <f>IF(R41=0,"",INDEX(criterio!$C$11:$C$22,R41))</f>
        <v>10</v>
      </c>
      <c r="U41" t="str">
        <f>IF(R41=0,"",INDEX(criterio!$D$11:$D$22,R41))</f>
        <v>días</v>
      </c>
      <c r="V41">
        <f>IF(AND(ISNUMBER(B41),B41=Turno!$B$3,OR(AL41="Preparar",AL41="Completar")),MAX($V$8:V40)+1,0)</f>
        <v>0</v>
      </c>
      <c r="W41" t="s">
        <v>78</v>
      </c>
      <c r="Y41" t="str">
        <f>IF(R41=0,"",INDEX(criterio!$I$11:$I$22,R41))</f>
        <v>Heladera 0–5 °C.</v>
      </c>
      <c r="Z41">
        <f t="shared" ref="Z41:Z72" si="15">IF(AC41=1,0,IF(A41="","",IF(ISNUMBER(H41),MAX(IF(ISNUMBER(N41),N41,0),H41-IF(ISNUMBER(I41),I41,0),0),IF(ISNUMBER(AM41),MAX(AM41,N(N41)),IF(ISNUMBER(G41),MAX(G41,N(N41)),N(N41))))))</f>
        <v>3.7080000000000002</v>
      </c>
      <c r="AA41" t="str">
        <f>IF(OR(A41="",COUNT(B41:C41)&lt;&gt;2),"",IF(OR(WEEKDAY(B41,2)&gt;5,COUNTIF(criterio!$B$25:$E$25,B41)&gt;0),"Cambiar día de elaboración",IF(OR(WEEKDAY(C41,2)&gt;5,COUNTIF(criterio!$B$25:$E$25,C41)&gt;0),"Cambiar día de retiro",IF(SUMIF($B$9:$B$128,B41,$AD$9:$AD$128)&gt;criterio!$D$26,"Más de dos recetas",IF(OR(A41="",NOT(ISNUMBER(B41))),"",IF(OR(NOT(ISNUMBER($Q$2)),NOT(ISNUMBER($Q$3)),$Q$2&lt;=0,$Q$3&lt;=0),"Revisar topes de carga",IF(SUMIFS($Z$9:$Z$128,$B$9:$B$128,B41,$F$9:$F$128,"kg")/$Q$2+SUMIFS($Z$9:$Z$128,$B$9:$B$128,B41,$F$9:$F$128,"L")/$Q$3&gt;1.000001,"Repartir carga del día","")))))))</f>
        <v/>
      </c>
      <c r="AB41" t="str">
        <f>IF(COUNTA(A41:E41,H41:I41,K41:N41)=0,"",IF(R41=0,"Elegir producto",IF(COUNT(B41:E41)&lt;&gt;4,"Completar fechas",IF(E41&lt;D41,"Revisar días de uso",IF(C41+criterio!$B$3&gt;D41,"El retiro llega tarde",IF(AND(N41&lt;&gt;"",OR(NOT(ISNUMBER(N41)),N41&lt;0)),"Revisar cantidad hecha",IF(AND(M41&lt;&gt;"",OR(NOT(ISNUMBER(M41)),M41&lt;0)),"Revisar cant. a adelantar",IF(AND(AND(ISBLANK(H41),L41="Adelanto"),NOT(ISNUMBER(AM41))),"Cargar cant. a adelantar",IF(AND(AND(ISBLANK(H41),L41="Adelanto"),I41&lt;&gt;"",OR(NOT(ISNUMBER(I41)),I41&lt;&gt;0)),"Revisar stock del adelanto",IF(AND(ISNUMBER(N41),N41&gt;0,L41&lt;&gt;"Sí",L41&lt;&gt;"Adelanto",N(M41)&lt;=0),"Hecho sin liberar",IF(AND(ISBLANK(H41),L41&lt;&gt;"Adelanto",OR(I41&lt;&gt;"",L41="Sí")),"Falta pedido real",IF(AND(H41&lt;&gt;"",OR(NOT(ISNUMBER(H41)),H41&lt;0)),"Revisar pedido",IF(AND(ISNUMBER(H41),H41=0,N(M41)&gt;0,N(N41)&gt;0,N(I41)=0),"Reasignar sobrante",IF(AND(ISNUMBER(H41),H41=0,OR(N41&gt;0,I41&gt;0)),"Revisar pedido y cantidades",IF(AND(ISNUMBER(H41),H41=0),"Sin pedido",IF(AND(ISNUMBER(H41),ISBLANK(I41)),"Falta anotar stock",IF(AND(I41&lt;&gt;"",OR(NOT(ISNUMBER(I41)),I41&lt;0,AND(ISNUMBER(H41),I41&gt;H41))),"Revisar stock asignado",IF(AND(ISNUMBER(I41),I41&gt;0,NOT(ISNUMBER(K41))),"Falta vencimiento de stock",IF(AND(ISNUMBER(I41),I41&gt;0,K41&lt;E41+criterio!$B$4),"El stock no cubre el uso",IF(AND(ISNUMBER(H41),ISNUMBER(I41),H41=I41,OR(N41="",N41=0)),"Cubierto con stock",IF(B41=criterio!$B$25,"Jornada bloqueada",IF(B41+S41&gt;C41,"No llega al retiro",IF(Q41&lt;E41,"Vence antes del último uso",IF(Q41&lt;E41+criterio!$B$4,"Falta margen de vida útil",IF(AND(ISBLANK(H41),L41&lt;&gt;"Adelanto",N(N41)&gt;0,N(M41)&gt;0),"Adelanto en pausa",IF(NOT(ISNUMBER(AM41)),"Previsión",IF(AND(ISNUMBER(H41),N(M41)&gt;0,N(N41)&gt;ROUND(H41-N(I41),3)),"Reasignar sobrante",IF(AND(ISNUMBER(N41),N41&gt;ROUND(AM41-N(I41),3)),"Revisar excedente",IF(AND(ISNUMBER(H41),L41&lt;&gt;"Sí",NOT(AND(N(M41)&gt;0,J41=0))),"Por confirmar",IF(J41=0,"Hecho",IF(AND(ISNUMBER(N41),N41&gt;0),"Completar","Preparar")))))))))))))))))))))))))))))))</f>
        <v>Previsión</v>
      </c>
      <c r="AC41">
        <f t="shared" ref="AC41:AC72" si="16">IF(OR(W41&lt;&gt;"",AJ41=0),0,IF(COUNTIFS($A$9:$A$128,A41,$AJ$9:$AJ$128,1,$D$9:$D$128,"&lt;="&amp;E41,$E$9:$E$128,"&gt;="&amp;D41)&gt;1,1,0))</f>
        <v>0</v>
      </c>
      <c r="AD41">
        <f>IF(OR(NOT(ISNUMBER(B41)),A41="",NOT(ISNUMBER(Z41)),Z41&lt;=0),0,IF(COUNTIFS($A$9:A41,A41,$B$9:B41,B41,$Z$9:Z41,"&gt;0")=1,1,0))</f>
        <v>1</v>
      </c>
      <c r="AE41">
        <f t="shared" ref="AE41:AE72" si="17">IF(OR(AK41&lt;=0,AC41=1),0,IF(AND(A41="Tsue",NOT(AND(ISBLANK(H41),L41="Adelanto"))),IF(ISNUMBER(C41),SUMIFS($H$9:$H$128,$A$9:$A$128,A41,$C$9:$C$128,C41,$AC$9:$AC$128,0,$H$9:$H$128,"&gt;0"),0),IF(ISNUMBER(Z41),Z41,0)))</f>
        <v>3.7080000000000002</v>
      </c>
      <c r="AF41">
        <f t="shared" ref="AF41:AF72" si="18">IF(OR(AE41&lt;=0,AK41&lt;=0),0,IF(ABS(AE41/AK41-ROUND(AE41/AK41,0))&gt;0.000001,1,0))</f>
        <v>1</v>
      </c>
      <c r="AG41" t="str">
        <f>IF(OR(AF41=0,AK41&lt;=0),"",IF(A41="Tsue","Retiro: ","Tanda: ")&amp;ROUND(AE41,3)&amp;" "&amp;F41&amp;". Acordar "&amp;INT(AE41/AK41)&amp;" o "&amp;ROUNDUP(AE41/AK41,0)&amp;IF(A41="Tsue"," envases de 5 L."," porciones de 500 g."))</f>
        <v>Tanda: 3.708 kg. Acordar 7 o 8 porciones de 500 g.</v>
      </c>
      <c r="AH41">
        <f>IF(COUNTA(A41:E41,H41:I41,K41:L41,N41)=0,0,IF(OR(NOT(ISNUMBER(B41)),B41&lt;'Por semana'!$C$45,B41&gt;'Por semana'!$J$46+6),1,0))</f>
        <v>0</v>
      </c>
      <c r="AI41">
        <f t="shared" ref="AI41:AI72" si="20">IF(OR(AC41=1,A41=""),0,IF(ISNUMBER(H41),MAX(0,H41),IF(ISNUMBER(G41),G41,0)))</f>
        <v>3.7080000000000002</v>
      </c>
      <c r="AJ41">
        <f t="shared" ref="AJ41:AJ72" si="21">IF(OR(A41="",NOT(ISNUMBER(D41)),NOT(ISNUMBER(E41)),AND(ISNUMBER(H41),H41=0)),0,1)</f>
        <v>1</v>
      </c>
      <c r="AK41">
        <f>IF(R41=0,0,IFERROR(INDEX(criterio!$J$11:$J$22,R41)+0,0))</f>
        <v>0.5</v>
      </c>
      <c r="AL41" t="str">
        <f t="shared" ref="AL41:AL72" si="22">IF(AC41=1,"Usar la fila ya prevista",IF(AND(AF41=1,OR(AB41="Preparar",AB41="Completar",AB41="Por confirmar"),AA41=""),"Acordar envases",IF(AND(OR(AB41="Previsión",AB41="Por confirmar",AB41="Preparar",AB41="Completar"),AA41&lt;&gt;""),AA41,AB41)))</f>
        <v>Previsión</v>
      </c>
      <c r="AM41" t="str">
        <f t="shared" ref="AM41:AM72" si="23">IF(ISNUMBER(H41),H41,IF(AND(ISBLANK(H41),L41="Adelanto",ISNUMBER(M41),M41&gt;0),M41,""))</f>
        <v/>
      </c>
    </row>
    <row r="42" spans="1:39" ht="31" customHeight="1">
      <c r="A42" s="5" t="s">
        <v>55</v>
      </c>
      <c r="B42" s="19">
        <v>46371</v>
      </c>
      <c r="C42" s="19">
        <v>46402</v>
      </c>
      <c r="D42" s="19">
        <v>46403</v>
      </c>
      <c r="E42" s="19">
        <v>46418</v>
      </c>
      <c r="F42" s="4" t="str">
        <f>IF(R42=0,"",INDEX(criterio!$B$11:$B$22,R42))</f>
        <v>kg</v>
      </c>
      <c r="G42" s="23">
        <f>IFERROR(IF(INDEX(criterio!$B$31:$B$111,MATCH(W42,criterio!$A$31:$A$111,0))=A42,INDEX(criterio!$C$31:$C$111,MATCH(W42,criterio!$A$31:$A$111,0)),""),"")</f>
        <v>4</v>
      </c>
      <c r="H42" s="25"/>
      <c r="I42" s="25"/>
      <c r="J42" s="27" t="str">
        <f t="shared" si="12"/>
        <v/>
      </c>
      <c r="K42" s="20"/>
      <c r="L42" s="21"/>
      <c r="M42" s="25"/>
      <c r="N42" s="25"/>
      <c r="O42" s="6" t="str">
        <f t="shared" si="13"/>
        <v>Previsión</v>
      </c>
      <c r="P42" s="6" t="str">
        <f>IFERROR(IF(AND(INDEX(criterio!$I$31:$I$111,MATCH(W42,criterio!$A$31:$A$111,0))=1,INDEX(criterio!$B$31:$B$111,MATCH(W42,criterio!$A$31:$A$111,0))=A42,ISNUMBER(B42),B42&gt;=criterio!$B$5,D42&lt;=criterio!$B$6,E42&gt;=criterio!$B$5),"Fuera de la previa del 20/12",""),"")</f>
        <v/>
      </c>
      <c r="Q42" s="22">
        <f t="shared" si="14"/>
        <v>46431</v>
      </c>
      <c r="R42">
        <f>IFERROR(MATCH(A42,criterio!$A$11:$A$22,0),0)</f>
        <v>3</v>
      </c>
      <c r="S42">
        <f>IF(R42=0,"",INDEX(criterio!$E$11:$E$22,R42))</f>
        <v>0</v>
      </c>
      <c r="T42">
        <f>IF(R42=0,"",INDEX(criterio!$C$11:$C$22,R42))</f>
        <v>60</v>
      </c>
      <c r="U42" t="str">
        <f>IF(R42=0,"",INDEX(criterio!$D$11:$D$22,R42))</f>
        <v>días</v>
      </c>
      <c r="V42">
        <f>IF(AND(ISNUMBER(B42),B42=Turno!$B$3,OR(AL42="Preparar",AL42="Completar")),MAX($V$8:V41)+1,0)</f>
        <v>0</v>
      </c>
      <c r="W42" t="s">
        <v>79</v>
      </c>
      <c r="Y42" t="str">
        <f>IF(R42=0,"",INDEX(criterio!$I$11:$I$22,R42))</f>
        <v>Seco, cerrado y sin humedad.
Abierto: 7 días, sin superar vencimiento.</v>
      </c>
      <c r="Z42">
        <f t="shared" si="15"/>
        <v>4</v>
      </c>
      <c r="AA42" t="str">
        <f>IF(OR(A42="",COUNT(B42:C42)&lt;&gt;2),"",IF(OR(WEEKDAY(B42,2)&gt;5,COUNTIF(criterio!$B$25:$E$25,B42)&gt;0),"Cambiar día de elaboración",IF(OR(WEEKDAY(C42,2)&gt;5,COUNTIF(criterio!$B$25:$E$25,C42)&gt;0),"Cambiar día de retiro",IF(SUMIF($B$9:$B$128,B42,$AD$9:$AD$128)&gt;criterio!$D$26,"Más de dos recetas",IF(OR(A42="",NOT(ISNUMBER(B42))),"",IF(OR(NOT(ISNUMBER($Q$2)),NOT(ISNUMBER($Q$3)),$Q$2&lt;=0,$Q$3&lt;=0),"Revisar topes de carga",IF(SUMIFS($Z$9:$Z$128,$B$9:$B$128,B42,$F$9:$F$128,"kg")/$Q$2+SUMIFS($Z$9:$Z$128,$B$9:$B$128,B42,$F$9:$F$128,"L")/$Q$3&gt;1.000001,"Repartir carga del día","")))))))</f>
        <v/>
      </c>
      <c r="AB42" t="str">
        <f>IF(COUNTA(A42:E42,H42:I42,K42:N42)=0,"",IF(R42=0,"Elegir producto",IF(COUNT(B42:E42)&lt;&gt;4,"Completar fechas",IF(E42&lt;D42,"Revisar días de uso",IF(C42+criterio!$B$3&gt;D42,"El retiro llega tarde",IF(AND(N42&lt;&gt;"",OR(NOT(ISNUMBER(N42)),N42&lt;0)),"Revisar cantidad hecha",IF(AND(M42&lt;&gt;"",OR(NOT(ISNUMBER(M42)),M42&lt;0)),"Revisar cant. a adelantar",IF(AND(AND(ISBLANK(H42),L42="Adelanto"),NOT(ISNUMBER(AM42))),"Cargar cant. a adelantar",IF(AND(AND(ISBLANK(H42),L42="Adelanto"),I42&lt;&gt;"",OR(NOT(ISNUMBER(I42)),I42&lt;&gt;0)),"Revisar stock del adelanto",IF(AND(ISNUMBER(N42),N42&gt;0,L42&lt;&gt;"Sí",L42&lt;&gt;"Adelanto",N(M42)&lt;=0),"Hecho sin liberar",IF(AND(ISBLANK(H42),L42&lt;&gt;"Adelanto",OR(I42&lt;&gt;"",L42="Sí")),"Falta pedido real",IF(AND(H42&lt;&gt;"",OR(NOT(ISNUMBER(H42)),H42&lt;0)),"Revisar pedido",IF(AND(ISNUMBER(H42),H42=0,N(M42)&gt;0,N(N42)&gt;0,N(I42)=0),"Reasignar sobrante",IF(AND(ISNUMBER(H42),H42=0,OR(N42&gt;0,I42&gt;0)),"Revisar pedido y cantidades",IF(AND(ISNUMBER(H42),H42=0),"Sin pedido",IF(AND(ISNUMBER(H42),ISBLANK(I42)),"Falta anotar stock",IF(AND(I42&lt;&gt;"",OR(NOT(ISNUMBER(I42)),I42&lt;0,AND(ISNUMBER(H42),I42&gt;H42))),"Revisar stock asignado",IF(AND(ISNUMBER(I42),I42&gt;0,NOT(ISNUMBER(K42))),"Falta vencimiento de stock",IF(AND(ISNUMBER(I42),I42&gt;0,K42&lt;E42+criterio!$B$4),"El stock no cubre el uso",IF(AND(ISNUMBER(H42),ISNUMBER(I42),H42=I42,OR(N42="",N42=0)),"Cubierto con stock",IF(B42=criterio!$B$25,"Jornada bloqueada",IF(B42+S42&gt;C42,"No llega al retiro",IF(Q42&lt;E42,"Vence antes del último uso",IF(Q42&lt;E42+criterio!$B$4,"Falta margen de vida útil",IF(AND(ISBLANK(H42),L42&lt;&gt;"Adelanto",N(N42)&gt;0,N(M42)&gt;0),"Adelanto en pausa",IF(NOT(ISNUMBER(AM42)),"Previsión",IF(AND(ISNUMBER(H42),N(M42)&gt;0,N(N42)&gt;ROUND(H42-N(I42),3)),"Reasignar sobrante",IF(AND(ISNUMBER(N42),N42&gt;ROUND(AM42-N(I42),3)),"Revisar excedente",IF(AND(ISNUMBER(H42),L42&lt;&gt;"Sí",NOT(AND(N(M42)&gt;0,J42=0))),"Por confirmar",IF(J42=0,"Hecho",IF(AND(ISNUMBER(N42),N42&gt;0),"Completar","Preparar")))))))))))))))))))))))))))))))</f>
        <v>Previsión</v>
      </c>
      <c r="AC42">
        <f t="shared" si="16"/>
        <v>0</v>
      </c>
      <c r="AD42">
        <f>IF(OR(NOT(ISNUMBER(B42)),A42="",NOT(ISNUMBER(Z42)),Z42&lt;=0),0,IF(COUNTIFS($A$9:A42,A42,$B$9:B42,B42,$Z$9:Z42,"&gt;0")=1,1,0))</f>
        <v>1</v>
      </c>
      <c r="AE42">
        <f t="shared" si="17"/>
        <v>0</v>
      </c>
      <c r="AF42">
        <f t="shared" si="18"/>
        <v>0</v>
      </c>
      <c r="AG42" t="str">
        <f>IF(OR(AF42=0,AK42&lt;=0),"",IF(A42="Tsue","Retiro: ","Tanda: ")&amp;ROUND(AE42,3)&amp;" "&amp;F42&amp;". Acordar "&amp;INT(AE42/AK42)&amp;" o "&amp;ROUNDUP(AE42/AK42,0)&amp;IF(A42="Tsue"," envases de 5 L."," porciones de 500 g."))</f>
        <v/>
      </c>
      <c r="AH42">
        <f>IF(COUNTA(A42:E42,H42:I42,K42:L42,N42)=0,0,IF(OR(NOT(ISNUMBER(B42)),B42&lt;'Por semana'!$C$45,B42&gt;'Por semana'!$J$46+6),1,0))</f>
        <v>0</v>
      </c>
      <c r="AI42">
        <f t="shared" si="20"/>
        <v>4</v>
      </c>
      <c r="AJ42">
        <f t="shared" si="21"/>
        <v>1</v>
      </c>
      <c r="AK42">
        <f>IF(R42=0,0,IFERROR(INDEX(criterio!$J$11:$J$22,R42)+0,0))</f>
        <v>0</v>
      </c>
      <c r="AL42" t="str">
        <f t="shared" si="22"/>
        <v>Previsión</v>
      </c>
      <c r="AM42" t="str">
        <f t="shared" si="23"/>
        <v/>
      </c>
    </row>
    <row r="43" spans="1:39" ht="31" customHeight="1">
      <c r="A43" s="5" t="s">
        <v>40</v>
      </c>
      <c r="B43" s="19">
        <v>46371</v>
      </c>
      <c r="C43" s="19">
        <v>46394</v>
      </c>
      <c r="D43" s="19">
        <v>46396</v>
      </c>
      <c r="E43" s="19">
        <v>46398</v>
      </c>
      <c r="F43" s="4" t="str">
        <f>IF(R43=0,"",INDEX(criterio!$B$11:$B$22,R43))</f>
        <v>L</v>
      </c>
      <c r="G43" s="24">
        <f>IFERROR(IF(INDEX(criterio!$B$31:$B$111,MATCH(W43,criterio!$A$31:$A$111,0))=A43,INDEX(criterio!$C$31:$C$111,MATCH(W43,criterio!$A$31:$A$111,0)),""),"")</f>
        <v>28</v>
      </c>
      <c r="H43" s="26"/>
      <c r="I43" s="26"/>
      <c r="J43" s="28" t="str">
        <f t="shared" si="12"/>
        <v/>
      </c>
      <c r="K43" s="20"/>
      <c r="L43" s="21"/>
      <c r="M43" s="26"/>
      <c r="N43" s="26"/>
      <c r="O43" s="6" t="str">
        <f t="shared" si="13"/>
        <v>Previsión</v>
      </c>
      <c r="P43" s="6" t="str">
        <f>IFERROR(IF(AND(INDEX(criterio!$I$31:$I$111,MATCH(W43,criterio!$A$31:$A$111,0))=1,INDEX(criterio!$B$31:$B$111,MATCH(W43,criterio!$A$31:$A$111,0))=A43,ISNUMBER(B43),B43&gt;=criterio!$B$5,D43&lt;=criterio!$B$6,E43&gt;=criterio!$B$5),"Fuera de la previa del 20/12",""),"")</f>
        <v/>
      </c>
      <c r="Q43" s="22">
        <f t="shared" si="14"/>
        <v>46402</v>
      </c>
      <c r="R43">
        <f>IFERROR(MATCH(A43,criterio!$A$11:$A$22,0),0)</f>
        <v>8</v>
      </c>
      <c r="S43">
        <f>IF(R43=0,"",INDEX(criterio!$E$11:$E$22,R43))</f>
        <v>0</v>
      </c>
      <c r="T43">
        <f>IF(R43=0,"",INDEX(criterio!$C$11:$C$22,R43))</f>
        <v>1</v>
      </c>
      <c r="U43" t="str">
        <f>IF(R43=0,"",INDEX(criterio!$D$11:$D$22,R43))</f>
        <v>mes</v>
      </c>
      <c r="V43">
        <f>IF(AND(ISNUMBER(B43),B43=Turno!$B$3,OR(AL43="Preparar",AL43="Completar")),MAX($V$8:V42)+1,0)</f>
        <v>0</v>
      </c>
      <c r="W43" t="s">
        <v>80</v>
      </c>
      <c r="Y43" t="str">
        <f>IF(R43=0,"",INDEX(criterio!$I$11:$I$22,R43))</f>
        <v>Lugar fresco y seco, 15–30 °C.
Proteger de luz y calor.</v>
      </c>
      <c r="Z43">
        <f t="shared" si="15"/>
        <v>28</v>
      </c>
      <c r="AA43" t="str">
        <f>IF(OR(A43="",COUNT(B43:C43)&lt;&gt;2),"",IF(OR(WEEKDAY(B43,2)&gt;5,COUNTIF(criterio!$B$25:$E$25,B43)&gt;0),"Cambiar día de elaboración",IF(OR(WEEKDAY(C43,2)&gt;5,COUNTIF(criterio!$B$25:$E$25,C43)&gt;0),"Cambiar día de retiro",IF(SUMIF($B$9:$B$128,B43,$AD$9:$AD$128)&gt;criterio!$D$26,"Más de dos recetas",IF(OR(A43="",NOT(ISNUMBER(B43))),"",IF(OR(NOT(ISNUMBER($Q$2)),NOT(ISNUMBER($Q$3)),$Q$2&lt;=0,$Q$3&lt;=0),"Revisar topes de carga",IF(SUMIFS($Z$9:$Z$128,$B$9:$B$128,B43,$F$9:$F$128,"kg")/$Q$2+SUMIFS($Z$9:$Z$128,$B$9:$B$128,B43,$F$9:$F$128,"L")/$Q$3&gt;1.000001,"Repartir carga del día","")))))))</f>
        <v/>
      </c>
      <c r="AB43" t="str">
        <f>IF(COUNTA(A43:E43,H43:I43,K43:N43)=0,"",IF(R43=0,"Elegir producto",IF(COUNT(B43:E43)&lt;&gt;4,"Completar fechas",IF(E43&lt;D43,"Revisar días de uso",IF(C43+criterio!$B$3&gt;D43,"El retiro llega tarde",IF(AND(N43&lt;&gt;"",OR(NOT(ISNUMBER(N43)),N43&lt;0)),"Revisar cantidad hecha",IF(AND(M43&lt;&gt;"",OR(NOT(ISNUMBER(M43)),M43&lt;0)),"Revisar cant. a adelantar",IF(AND(AND(ISBLANK(H43),L43="Adelanto"),NOT(ISNUMBER(AM43))),"Cargar cant. a adelantar",IF(AND(AND(ISBLANK(H43),L43="Adelanto"),I43&lt;&gt;"",OR(NOT(ISNUMBER(I43)),I43&lt;&gt;0)),"Revisar stock del adelanto",IF(AND(ISNUMBER(N43),N43&gt;0,L43&lt;&gt;"Sí",L43&lt;&gt;"Adelanto",N(M43)&lt;=0),"Hecho sin liberar",IF(AND(ISBLANK(H43),L43&lt;&gt;"Adelanto",OR(I43&lt;&gt;"",L43="Sí")),"Falta pedido real",IF(AND(H43&lt;&gt;"",OR(NOT(ISNUMBER(H43)),H43&lt;0)),"Revisar pedido",IF(AND(ISNUMBER(H43),H43=0,N(M43)&gt;0,N(N43)&gt;0,N(I43)=0),"Reasignar sobrante",IF(AND(ISNUMBER(H43),H43=0,OR(N43&gt;0,I43&gt;0)),"Revisar pedido y cantidades",IF(AND(ISNUMBER(H43),H43=0),"Sin pedido",IF(AND(ISNUMBER(H43),ISBLANK(I43)),"Falta anotar stock",IF(AND(I43&lt;&gt;"",OR(NOT(ISNUMBER(I43)),I43&lt;0,AND(ISNUMBER(H43),I43&gt;H43))),"Revisar stock asignado",IF(AND(ISNUMBER(I43),I43&gt;0,NOT(ISNUMBER(K43))),"Falta vencimiento de stock",IF(AND(ISNUMBER(I43),I43&gt;0,K43&lt;E43+criterio!$B$4),"El stock no cubre el uso",IF(AND(ISNUMBER(H43),ISNUMBER(I43),H43=I43,OR(N43="",N43=0)),"Cubierto con stock",IF(B43=criterio!$B$25,"Jornada bloqueada",IF(B43+S43&gt;C43,"No llega al retiro",IF(Q43&lt;E43,"Vence antes del último uso",IF(Q43&lt;E43+criterio!$B$4,"Falta margen de vida útil",IF(AND(ISBLANK(H43),L43&lt;&gt;"Adelanto",N(N43)&gt;0,N(M43)&gt;0),"Adelanto en pausa",IF(NOT(ISNUMBER(AM43)),"Previsión",IF(AND(ISNUMBER(H43),N(M43)&gt;0,N(N43)&gt;ROUND(H43-N(I43),3)),"Reasignar sobrante",IF(AND(ISNUMBER(N43),N43&gt;ROUND(AM43-N(I43),3)),"Revisar excedente",IF(AND(ISNUMBER(H43),L43&lt;&gt;"Sí",NOT(AND(N(M43)&gt;0,J43=0))),"Por confirmar",IF(J43=0,"Hecho",IF(AND(ISNUMBER(N43),N43&gt;0),"Completar","Preparar")))))))))))))))))))))))))))))))</f>
        <v>Previsión</v>
      </c>
      <c r="AC43">
        <f t="shared" si="16"/>
        <v>0</v>
      </c>
      <c r="AD43">
        <f>IF(OR(NOT(ISNUMBER(B43)),A43="",NOT(ISNUMBER(Z43)),Z43&lt;=0),0,IF(COUNTIFS($A$9:A43,A43,$B$9:B43,B43,$Z$9:Z43,"&gt;0")=1,1,0))</f>
        <v>1</v>
      </c>
      <c r="AE43">
        <f t="shared" si="17"/>
        <v>0</v>
      </c>
      <c r="AF43">
        <f t="shared" si="18"/>
        <v>0</v>
      </c>
      <c r="AG43" t="str">
        <f>IF(OR(AF43=0,AK43&lt;=0),"",IF(A43="Tsue","Retiro: ","Tanda: ")&amp;ROUND(AE43,3)&amp;" "&amp;F43&amp;". Acordar "&amp;INT(AE43/AK43)&amp;" o "&amp;ROUNDUP(AE43/AK43,0)&amp;IF(A43="Tsue"," envases de 5 L."," porciones de 500 g."))</f>
        <v/>
      </c>
      <c r="AH43">
        <f>IF(COUNTA(A43:E43,H43:I43,K43:L43,N43)=0,0,IF(OR(NOT(ISNUMBER(B43)),B43&lt;'Por semana'!$C$45,B43&gt;'Por semana'!$J$46+6),1,0))</f>
        <v>0</v>
      </c>
      <c r="AI43">
        <f t="shared" si="20"/>
        <v>28</v>
      </c>
      <c r="AJ43">
        <f t="shared" si="21"/>
        <v>1</v>
      </c>
      <c r="AK43">
        <f>IF(R43=0,0,IFERROR(INDEX(criterio!$J$11:$J$22,R43)+0,0))</f>
        <v>5</v>
      </c>
      <c r="AL43" t="str">
        <f t="shared" si="22"/>
        <v>Previsión</v>
      </c>
      <c r="AM43" t="str">
        <f t="shared" si="23"/>
        <v/>
      </c>
    </row>
    <row r="44" spans="1:39" ht="31" customHeight="1">
      <c r="A44" s="5" t="s">
        <v>42</v>
      </c>
      <c r="B44" s="19">
        <v>46372</v>
      </c>
      <c r="C44" s="19">
        <v>46402</v>
      </c>
      <c r="D44" s="19">
        <v>46403</v>
      </c>
      <c r="E44" s="19">
        <v>46418</v>
      </c>
      <c r="F44" s="4" t="str">
        <f>IF(R44=0,"",INDEX(criterio!$B$11:$B$22,R44))</f>
        <v>kg</v>
      </c>
      <c r="G44" s="23">
        <f>IFERROR(IF(INDEX(criterio!$B$31:$B$111,MATCH(W44,criterio!$A$31:$A$111,0))=A44,INDEX(criterio!$C$31:$C$111,MATCH(W44,criterio!$A$31:$A$111,0)),""),"")</f>
        <v>3</v>
      </c>
      <c r="H44" s="25"/>
      <c r="I44" s="25"/>
      <c r="J44" s="27" t="str">
        <f t="shared" si="12"/>
        <v/>
      </c>
      <c r="K44" s="20"/>
      <c r="L44" s="21"/>
      <c r="M44" s="25"/>
      <c r="N44" s="25"/>
      <c r="O44" s="6" t="str">
        <f t="shared" si="13"/>
        <v>Previsión</v>
      </c>
      <c r="P44" s="6" t="str">
        <f>IFERROR(IF(AND(INDEX(criterio!$I$31:$I$111,MATCH(W44,criterio!$A$31:$A$111,0))=1,INDEX(criterio!$B$31:$B$111,MATCH(W44,criterio!$A$31:$A$111,0))=A44,ISNUMBER(B44),B44&gt;=criterio!$B$5,D44&lt;=criterio!$B$6,E44&gt;=criterio!$B$5),"Fuera de la previa del 20/12",""),"")</f>
        <v/>
      </c>
      <c r="Q44" s="22">
        <f t="shared" si="14"/>
        <v>46432</v>
      </c>
      <c r="R44">
        <f>IFERROR(MATCH(A44,criterio!$A$11:$A$22,0),0)</f>
        <v>4</v>
      </c>
      <c r="S44">
        <f>IF(R44=0,"",INDEX(criterio!$E$11:$E$22,R44))</f>
        <v>0</v>
      </c>
      <c r="T44">
        <f>IF(R44=0,"",INDEX(criterio!$C$11:$C$22,R44))</f>
        <v>60</v>
      </c>
      <c r="U44" t="str">
        <f>IF(R44=0,"",INDEX(criterio!$D$11:$D$22,R44))</f>
        <v>días</v>
      </c>
      <c r="V44">
        <f>IF(AND(ISNUMBER(B44),B44=Turno!$B$3,OR(AL44="Preparar",AL44="Completar")),MAX($V$8:V43)+1,0)</f>
        <v>0</v>
      </c>
      <c r="W44" t="s">
        <v>81</v>
      </c>
      <c r="Y44" t="str">
        <f>IF(R44=0,"",INDEX(criterio!$I$11:$I$22,R44))</f>
        <v>Seco, cerrado y sin humedad.
Abierto: 7 días, sin superar vencimiento.</v>
      </c>
      <c r="Z44">
        <f t="shared" si="15"/>
        <v>3</v>
      </c>
      <c r="AA44" t="str">
        <f>IF(OR(A44="",COUNT(B44:C44)&lt;&gt;2),"",IF(OR(WEEKDAY(B44,2)&gt;5,COUNTIF(criterio!$B$25:$E$25,B44)&gt;0),"Cambiar día de elaboración",IF(OR(WEEKDAY(C44,2)&gt;5,COUNTIF(criterio!$B$25:$E$25,C44)&gt;0),"Cambiar día de retiro",IF(SUMIF($B$9:$B$128,B44,$AD$9:$AD$128)&gt;criterio!$D$26,"Más de dos recetas",IF(OR(A44="",NOT(ISNUMBER(B44))),"",IF(OR(NOT(ISNUMBER($Q$2)),NOT(ISNUMBER($Q$3)),$Q$2&lt;=0,$Q$3&lt;=0),"Revisar topes de carga",IF(SUMIFS($Z$9:$Z$128,$B$9:$B$128,B44,$F$9:$F$128,"kg")/$Q$2+SUMIFS($Z$9:$Z$128,$B$9:$B$128,B44,$F$9:$F$128,"L")/$Q$3&gt;1.000001,"Repartir carga del día","")))))))</f>
        <v/>
      </c>
      <c r="AB44" t="str">
        <f>IF(COUNTA(A44:E44,H44:I44,K44:N44)=0,"",IF(R44=0,"Elegir producto",IF(COUNT(B44:E44)&lt;&gt;4,"Completar fechas",IF(E44&lt;D44,"Revisar días de uso",IF(C44+criterio!$B$3&gt;D44,"El retiro llega tarde",IF(AND(N44&lt;&gt;"",OR(NOT(ISNUMBER(N44)),N44&lt;0)),"Revisar cantidad hecha",IF(AND(M44&lt;&gt;"",OR(NOT(ISNUMBER(M44)),M44&lt;0)),"Revisar cant. a adelantar",IF(AND(AND(ISBLANK(H44),L44="Adelanto"),NOT(ISNUMBER(AM44))),"Cargar cant. a adelantar",IF(AND(AND(ISBLANK(H44),L44="Adelanto"),I44&lt;&gt;"",OR(NOT(ISNUMBER(I44)),I44&lt;&gt;0)),"Revisar stock del adelanto",IF(AND(ISNUMBER(N44),N44&gt;0,L44&lt;&gt;"Sí",L44&lt;&gt;"Adelanto",N(M44)&lt;=0),"Hecho sin liberar",IF(AND(ISBLANK(H44),L44&lt;&gt;"Adelanto",OR(I44&lt;&gt;"",L44="Sí")),"Falta pedido real",IF(AND(H44&lt;&gt;"",OR(NOT(ISNUMBER(H44)),H44&lt;0)),"Revisar pedido",IF(AND(ISNUMBER(H44),H44=0,N(M44)&gt;0,N(N44)&gt;0,N(I44)=0),"Reasignar sobrante",IF(AND(ISNUMBER(H44),H44=0,OR(N44&gt;0,I44&gt;0)),"Revisar pedido y cantidades",IF(AND(ISNUMBER(H44),H44=0),"Sin pedido",IF(AND(ISNUMBER(H44),ISBLANK(I44)),"Falta anotar stock",IF(AND(I44&lt;&gt;"",OR(NOT(ISNUMBER(I44)),I44&lt;0,AND(ISNUMBER(H44),I44&gt;H44))),"Revisar stock asignado",IF(AND(ISNUMBER(I44),I44&gt;0,NOT(ISNUMBER(K44))),"Falta vencimiento de stock",IF(AND(ISNUMBER(I44),I44&gt;0,K44&lt;E44+criterio!$B$4),"El stock no cubre el uso",IF(AND(ISNUMBER(H44),ISNUMBER(I44),H44=I44,OR(N44="",N44=0)),"Cubierto con stock",IF(B44=criterio!$B$25,"Jornada bloqueada",IF(B44+S44&gt;C44,"No llega al retiro",IF(Q44&lt;E44,"Vence antes del último uso",IF(Q44&lt;E44+criterio!$B$4,"Falta margen de vida útil",IF(AND(ISBLANK(H44),L44&lt;&gt;"Adelanto",N(N44)&gt;0,N(M44)&gt;0),"Adelanto en pausa",IF(NOT(ISNUMBER(AM44)),"Previsión",IF(AND(ISNUMBER(H44),N(M44)&gt;0,N(N44)&gt;ROUND(H44-N(I44),3)),"Reasignar sobrante",IF(AND(ISNUMBER(N44),N44&gt;ROUND(AM44-N(I44),3)),"Revisar excedente",IF(AND(ISNUMBER(H44),L44&lt;&gt;"Sí",NOT(AND(N(M44)&gt;0,J44=0))),"Por confirmar",IF(J44=0,"Hecho",IF(AND(ISNUMBER(N44),N44&gt;0),"Completar","Preparar")))))))))))))))))))))))))))))))</f>
        <v>Previsión</v>
      </c>
      <c r="AC44">
        <f t="shared" si="16"/>
        <v>0</v>
      </c>
      <c r="AD44">
        <f>IF(OR(NOT(ISNUMBER(B44)),A44="",NOT(ISNUMBER(Z44)),Z44&lt;=0),0,IF(COUNTIFS($A$9:A44,A44,$B$9:B44,B44,$Z$9:Z44,"&gt;0")=1,1,0))</f>
        <v>1</v>
      </c>
      <c r="AE44">
        <f t="shared" si="17"/>
        <v>0</v>
      </c>
      <c r="AF44">
        <f t="shared" si="18"/>
        <v>0</v>
      </c>
      <c r="AG44" t="str">
        <f>IF(OR(AF44=0,AK44&lt;=0),"",IF(A44="Tsue","Retiro: ","Tanda: ")&amp;ROUND(AE44,3)&amp;" "&amp;F44&amp;". Acordar "&amp;INT(AE44/AK44)&amp;" o "&amp;ROUNDUP(AE44/AK44,0)&amp;IF(A44="Tsue"," envases de 5 L."," porciones de 500 g."))</f>
        <v/>
      </c>
      <c r="AH44">
        <f>IF(COUNTA(A44:E44,H44:I44,K44:L44,N44)=0,0,IF(OR(NOT(ISNUMBER(B44)),B44&lt;'Por semana'!$C$45,B44&gt;'Por semana'!$J$46+6),1,0))</f>
        <v>0</v>
      </c>
      <c r="AI44">
        <f t="shared" si="20"/>
        <v>3</v>
      </c>
      <c r="AJ44">
        <f t="shared" si="21"/>
        <v>1</v>
      </c>
      <c r="AK44">
        <f>IF(R44=0,0,IFERROR(INDEX(criterio!$J$11:$J$22,R44)+0,0))</f>
        <v>0</v>
      </c>
      <c r="AL44" t="str">
        <f t="shared" si="22"/>
        <v>Previsión</v>
      </c>
      <c r="AM44" t="str">
        <f t="shared" si="23"/>
        <v/>
      </c>
    </row>
    <row r="45" spans="1:39" ht="31" customHeight="1">
      <c r="A45" s="5" t="s">
        <v>53</v>
      </c>
      <c r="B45" s="19">
        <v>46372</v>
      </c>
      <c r="C45" s="19">
        <v>46386</v>
      </c>
      <c r="D45" s="19">
        <v>46388</v>
      </c>
      <c r="E45" s="19">
        <v>46395</v>
      </c>
      <c r="F45" s="4" t="str">
        <f>IF(R45=0,"",INDEX(criterio!$B$11:$B$22,R45))</f>
        <v>kg</v>
      </c>
      <c r="G45" s="23">
        <f>IFERROR(IF(INDEX(criterio!$B$31:$B$111,MATCH(W45,criterio!$A$31:$A$111,0))=A45,INDEX(criterio!$C$31:$C$111,MATCH(W45,criterio!$A$31:$A$111,0)),""),"")</f>
        <v>14</v>
      </c>
      <c r="H45" s="25"/>
      <c r="I45" s="25"/>
      <c r="J45" s="27" t="str">
        <f t="shared" si="12"/>
        <v/>
      </c>
      <c r="K45" s="20"/>
      <c r="L45" s="21"/>
      <c r="M45" s="25"/>
      <c r="N45" s="25"/>
      <c r="O45" s="6" t="str">
        <f t="shared" si="13"/>
        <v>Previsión</v>
      </c>
      <c r="P45" s="6" t="str">
        <f>IFERROR(IF(AND(INDEX(criterio!$I$31:$I$111,MATCH(W45,criterio!$A$31:$A$111,0))=1,INDEX(criterio!$B$31:$B$111,MATCH(W45,criterio!$A$31:$A$111,0))=A45,ISNUMBER(B45),B45&gt;=criterio!$B$5,D45&lt;=criterio!$B$6,E45&gt;=criterio!$B$5),"Fuera de la previa del 20/12",""),"")</f>
        <v/>
      </c>
      <c r="Q45" s="22">
        <f t="shared" si="14"/>
        <v>46402</v>
      </c>
      <c r="R45">
        <f>IFERROR(MATCH(A45,criterio!$A$11:$A$22,0),0)</f>
        <v>6</v>
      </c>
      <c r="S45">
        <f>IF(R45=0,"",INDEX(criterio!$E$11:$E$22,R45))</f>
        <v>0</v>
      </c>
      <c r="T45">
        <f>IF(R45=0,"",INDEX(criterio!$C$11:$C$22,R45))</f>
        <v>30</v>
      </c>
      <c r="U45" t="str">
        <f>IF(R45=0,"",INDEX(criterio!$D$11:$D$22,R45))</f>
        <v>días</v>
      </c>
      <c r="V45">
        <f>IF(AND(ISNUMBER(B45),B45=Turno!$B$3,OR(AL45="Preparar",AL45="Completar")),MAX($V$8:V44)+1,0)</f>
        <v>0</v>
      </c>
      <c r="W45" t="s">
        <v>82</v>
      </c>
      <c r="Y45" t="str">
        <f>IF(R45=0,"",INDEX(criterio!$I$11:$I$22,R45))</f>
        <v>Heladera 0–5 °C.
Abierto en topinera: 7 días, sin superar vencimiento.</v>
      </c>
      <c r="Z45">
        <f t="shared" si="15"/>
        <v>14</v>
      </c>
      <c r="AA45" t="str">
        <f>IF(OR(A45="",COUNT(B45:C45)&lt;&gt;2),"",IF(OR(WEEKDAY(B45,2)&gt;5,COUNTIF(criterio!$B$25:$E$25,B45)&gt;0),"Cambiar día de elaboración",IF(OR(WEEKDAY(C45,2)&gt;5,COUNTIF(criterio!$B$25:$E$25,C45)&gt;0),"Cambiar día de retiro",IF(SUMIF($B$9:$B$128,B45,$AD$9:$AD$128)&gt;criterio!$D$26,"Más de dos recetas",IF(OR(A45="",NOT(ISNUMBER(B45))),"",IF(OR(NOT(ISNUMBER($Q$2)),NOT(ISNUMBER($Q$3)),$Q$2&lt;=0,$Q$3&lt;=0),"Revisar topes de carga",IF(SUMIFS($Z$9:$Z$128,$B$9:$B$128,B45,$F$9:$F$128,"kg")/$Q$2+SUMIFS($Z$9:$Z$128,$B$9:$B$128,B45,$F$9:$F$128,"L")/$Q$3&gt;1.000001,"Repartir carga del día","")))))))</f>
        <v/>
      </c>
      <c r="AB45" t="str">
        <f>IF(COUNTA(A45:E45,H45:I45,K45:N45)=0,"",IF(R45=0,"Elegir producto",IF(COUNT(B45:E45)&lt;&gt;4,"Completar fechas",IF(E45&lt;D45,"Revisar días de uso",IF(C45+criterio!$B$3&gt;D45,"El retiro llega tarde",IF(AND(N45&lt;&gt;"",OR(NOT(ISNUMBER(N45)),N45&lt;0)),"Revisar cantidad hecha",IF(AND(M45&lt;&gt;"",OR(NOT(ISNUMBER(M45)),M45&lt;0)),"Revisar cant. a adelantar",IF(AND(AND(ISBLANK(H45),L45="Adelanto"),NOT(ISNUMBER(AM45))),"Cargar cant. a adelantar",IF(AND(AND(ISBLANK(H45),L45="Adelanto"),I45&lt;&gt;"",OR(NOT(ISNUMBER(I45)),I45&lt;&gt;0)),"Revisar stock del adelanto",IF(AND(ISNUMBER(N45),N45&gt;0,L45&lt;&gt;"Sí",L45&lt;&gt;"Adelanto",N(M45)&lt;=0),"Hecho sin liberar",IF(AND(ISBLANK(H45),L45&lt;&gt;"Adelanto",OR(I45&lt;&gt;"",L45="Sí")),"Falta pedido real",IF(AND(H45&lt;&gt;"",OR(NOT(ISNUMBER(H45)),H45&lt;0)),"Revisar pedido",IF(AND(ISNUMBER(H45),H45=0,N(M45)&gt;0,N(N45)&gt;0,N(I45)=0),"Reasignar sobrante",IF(AND(ISNUMBER(H45),H45=0,OR(N45&gt;0,I45&gt;0)),"Revisar pedido y cantidades",IF(AND(ISNUMBER(H45),H45=0),"Sin pedido",IF(AND(ISNUMBER(H45),ISBLANK(I45)),"Falta anotar stock",IF(AND(I45&lt;&gt;"",OR(NOT(ISNUMBER(I45)),I45&lt;0,AND(ISNUMBER(H45),I45&gt;H45))),"Revisar stock asignado",IF(AND(ISNUMBER(I45),I45&gt;0,NOT(ISNUMBER(K45))),"Falta vencimiento de stock",IF(AND(ISNUMBER(I45),I45&gt;0,K45&lt;E45+criterio!$B$4),"El stock no cubre el uso",IF(AND(ISNUMBER(H45),ISNUMBER(I45),H45=I45,OR(N45="",N45=0)),"Cubierto con stock",IF(B45=criterio!$B$25,"Jornada bloqueada",IF(B45+S45&gt;C45,"No llega al retiro",IF(Q45&lt;E45,"Vence antes del último uso",IF(Q45&lt;E45+criterio!$B$4,"Falta margen de vida útil",IF(AND(ISBLANK(H45),L45&lt;&gt;"Adelanto",N(N45)&gt;0,N(M45)&gt;0),"Adelanto en pausa",IF(NOT(ISNUMBER(AM45)),"Previsión",IF(AND(ISNUMBER(H45),N(M45)&gt;0,N(N45)&gt;ROUND(H45-N(I45),3)),"Reasignar sobrante",IF(AND(ISNUMBER(N45),N45&gt;ROUND(AM45-N(I45),3)),"Revisar excedente",IF(AND(ISNUMBER(H45),L45&lt;&gt;"Sí",NOT(AND(N(M45)&gt;0,J45=0))),"Por confirmar",IF(J45=0,"Hecho",IF(AND(ISNUMBER(N45),N45&gt;0),"Completar","Preparar")))))))))))))))))))))))))))))))</f>
        <v>Previsión</v>
      </c>
      <c r="AC45">
        <f t="shared" si="16"/>
        <v>0</v>
      </c>
      <c r="AD45">
        <f>IF(OR(NOT(ISNUMBER(B45)),A45="",NOT(ISNUMBER(Z45)),Z45&lt;=0),0,IF(COUNTIFS($A$9:A45,A45,$B$9:B45,B45,$Z$9:Z45,"&gt;0")=1,1,0))</f>
        <v>1</v>
      </c>
      <c r="AE45">
        <f t="shared" si="17"/>
        <v>0</v>
      </c>
      <c r="AF45">
        <f t="shared" si="18"/>
        <v>0</v>
      </c>
      <c r="AG45" t="str">
        <f>IF(OR(AF45=0,AK45&lt;=0),"",IF(A45="Tsue","Retiro: ","Tanda: ")&amp;ROUND(AE45,3)&amp;" "&amp;F45&amp;". Acordar "&amp;INT(AE45/AK45)&amp;" o "&amp;ROUNDUP(AE45/AK45,0)&amp;IF(A45="Tsue"," envases de 5 L."," porciones de 500 g."))</f>
        <v/>
      </c>
      <c r="AH45">
        <f>IF(COUNTA(A45:E45,H45:I45,K45:L45,N45)=0,0,IF(OR(NOT(ISNUMBER(B45)),B45&lt;'Por semana'!$C$45,B45&gt;'Por semana'!$J$46+6),1,0))</f>
        <v>0</v>
      </c>
      <c r="AI45">
        <f t="shared" si="20"/>
        <v>14</v>
      </c>
      <c r="AJ45">
        <f t="shared" si="21"/>
        <v>1</v>
      </c>
      <c r="AK45">
        <f>IF(R45=0,0,IFERROR(INDEX(criterio!$J$11:$J$22,R45)+0,0))</f>
        <v>0</v>
      </c>
      <c r="AL45" t="str">
        <f t="shared" si="22"/>
        <v>Previsión</v>
      </c>
      <c r="AM45" t="str">
        <f t="shared" si="23"/>
        <v/>
      </c>
    </row>
    <row r="46" spans="1:39" ht="31" customHeight="1">
      <c r="A46" s="5" t="s">
        <v>40</v>
      </c>
      <c r="B46" s="19">
        <v>46373</v>
      </c>
      <c r="C46" s="19">
        <v>46394</v>
      </c>
      <c r="D46" s="19">
        <v>46399</v>
      </c>
      <c r="E46" s="19">
        <v>46402</v>
      </c>
      <c r="F46" s="4" t="str">
        <f>IF(R46=0,"",INDEX(criterio!$B$11:$B$22,R46))</f>
        <v>L</v>
      </c>
      <c r="G46" s="24">
        <f>IFERROR(IF(INDEX(criterio!$B$31:$B$111,MATCH(W46,criterio!$A$31:$A$111,0))=A46,INDEX(criterio!$C$31:$C$111,MATCH(W46,criterio!$A$31:$A$111,0)),""),"")</f>
        <v>37</v>
      </c>
      <c r="H46" s="26"/>
      <c r="I46" s="26"/>
      <c r="J46" s="28" t="str">
        <f t="shared" si="12"/>
        <v/>
      </c>
      <c r="K46" s="20"/>
      <c r="L46" s="21"/>
      <c r="M46" s="26"/>
      <c r="N46" s="26"/>
      <c r="O46" s="6" t="str">
        <f t="shared" si="13"/>
        <v>Previsión</v>
      </c>
      <c r="P46" s="6" t="str">
        <f>IFERROR(IF(AND(INDEX(criterio!$I$31:$I$111,MATCH(W46,criterio!$A$31:$A$111,0))=1,INDEX(criterio!$B$31:$B$111,MATCH(W46,criterio!$A$31:$A$111,0))=A46,ISNUMBER(B46),B46&gt;=criterio!$B$5,D46&lt;=criterio!$B$6,E46&gt;=criterio!$B$5),"Fuera de la previa del 20/12",""),"")</f>
        <v/>
      </c>
      <c r="Q46" s="22">
        <f t="shared" si="14"/>
        <v>46404</v>
      </c>
      <c r="R46">
        <f>IFERROR(MATCH(A46,criterio!$A$11:$A$22,0),0)</f>
        <v>8</v>
      </c>
      <c r="S46">
        <f>IF(R46=0,"",INDEX(criterio!$E$11:$E$22,R46))</f>
        <v>0</v>
      </c>
      <c r="T46">
        <f>IF(R46=0,"",INDEX(criterio!$C$11:$C$22,R46))</f>
        <v>1</v>
      </c>
      <c r="U46" t="str">
        <f>IF(R46=0,"",INDEX(criterio!$D$11:$D$22,R46))</f>
        <v>mes</v>
      </c>
      <c r="V46">
        <f>IF(AND(ISNUMBER(B46),B46=Turno!$B$3,OR(AL46="Preparar",AL46="Completar")),MAX($V$8:V45)+1,0)</f>
        <v>0</v>
      </c>
      <c r="W46" t="s">
        <v>83</v>
      </c>
      <c r="Y46" t="str">
        <f>IF(R46=0,"",INDEX(criterio!$I$11:$I$22,R46))</f>
        <v>Lugar fresco y seco, 15–30 °C.
Proteger de luz y calor.</v>
      </c>
      <c r="Z46">
        <f t="shared" si="15"/>
        <v>37</v>
      </c>
      <c r="AA46" t="str">
        <f>IF(OR(A46="",COUNT(B46:C46)&lt;&gt;2),"",IF(OR(WEEKDAY(B46,2)&gt;5,COUNTIF(criterio!$B$25:$E$25,B46)&gt;0),"Cambiar día de elaboración",IF(OR(WEEKDAY(C46,2)&gt;5,COUNTIF(criterio!$B$25:$E$25,C46)&gt;0),"Cambiar día de retiro",IF(SUMIF($B$9:$B$128,B46,$AD$9:$AD$128)&gt;criterio!$D$26,"Más de dos recetas",IF(OR(A46="",NOT(ISNUMBER(B46))),"",IF(OR(NOT(ISNUMBER($Q$2)),NOT(ISNUMBER($Q$3)),$Q$2&lt;=0,$Q$3&lt;=0),"Revisar topes de carga",IF(SUMIFS($Z$9:$Z$128,$B$9:$B$128,B46,$F$9:$F$128,"kg")/$Q$2+SUMIFS($Z$9:$Z$128,$B$9:$B$128,B46,$F$9:$F$128,"L")/$Q$3&gt;1.000001,"Repartir carga del día","")))))))</f>
        <v/>
      </c>
      <c r="AB46" t="str">
        <f>IF(COUNTA(A46:E46,H46:I46,K46:N46)=0,"",IF(R46=0,"Elegir producto",IF(COUNT(B46:E46)&lt;&gt;4,"Completar fechas",IF(E46&lt;D46,"Revisar días de uso",IF(C46+criterio!$B$3&gt;D46,"El retiro llega tarde",IF(AND(N46&lt;&gt;"",OR(NOT(ISNUMBER(N46)),N46&lt;0)),"Revisar cantidad hecha",IF(AND(M46&lt;&gt;"",OR(NOT(ISNUMBER(M46)),M46&lt;0)),"Revisar cant. a adelantar",IF(AND(AND(ISBLANK(H46),L46="Adelanto"),NOT(ISNUMBER(AM46))),"Cargar cant. a adelantar",IF(AND(AND(ISBLANK(H46),L46="Adelanto"),I46&lt;&gt;"",OR(NOT(ISNUMBER(I46)),I46&lt;&gt;0)),"Revisar stock del adelanto",IF(AND(ISNUMBER(N46),N46&gt;0,L46&lt;&gt;"Sí",L46&lt;&gt;"Adelanto",N(M46)&lt;=0),"Hecho sin liberar",IF(AND(ISBLANK(H46),L46&lt;&gt;"Adelanto",OR(I46&lt;&gt;"",L46="Sí")),"Falta pedido real",IF(AND(H46&lt;&gt;"",OR(NOT(ISNUMBER(H46)),H46&lt;0)),"Revisar pedido",IF(AND(ISNUMBER(H46),H46=0,N(M46)&gt;0,N(N46)&gt;0,N(I46)=0),"Reasignar sobrante",IF(AND(ISNUMBER(H46),H46=0,OR(N46&gt;0,I46&gt;0)),"Revisar pedido y cantidades",IF(AND(ISNUMBER(H46),H46=0),"Sin pedido",IF(AND(ISNUMBER(H46),ISBLANK(I46)),"Falta anotar stock",IF(AND(I46&lt;&gt;"",OR(NOT(ISNUMBER(I46)),I46&lt;0,AND(ISNUMBER(H46),I46&gt;H46))),"Revisar stock asignado",IF(AND(ISNUMBER(I46),I46&gt;0,NOT(ISNUMBER(K46))),"Falta vencimiento de stock",IF(AND(ISNUMBER(I46),I46&gt;0,K46&lt;E46+criterio!$B$4),"El stock no cubre el uso",IF(AND(ISNUMBER(H46),ISNUMBER(I46),H46=I46,OR(N46="",N46=0)),"Cubierto con stock",IF(B46=criterio!$B$25,"Jornada bloqueada",IF(B46+S46&gt;C46,"No llega al retiro",IF(Q46&lt;E46,"Vence antes del último uso",IF(Q46&lt;E46+criterio!$B$4,"Falta margen de vida útil",IF(AND(ISBLANK(H46),L46&lt;&gt;"Adelanto",N(N46)&gt;0,N(M46)&gt;0),"Adelanto en pausa",IF(NOT(ISNUMBER(AM46)),"Previsión",IF(AND(ISNUMBER(H46),N(M46)&gt;0,N(N46)&gt;ROUND(H46-N(I46),3)),"Reasignar sobrante",IF(AND(ISNUMBER(N46),N46&gt;ROUND(AM46-N(I46),3)),"Revisar excedente",IF(AND(ISNUMBER(H46),L46&lt;&gt;"Sí",NOT(AND(N(M46)&gt;0,J46=0))),"Por confirmar",IF(J46=0,"Hecho",IF(AND(ISNUMBER(N46),N46&gt;0),"Completar","Preparar")))))))))))))))))))))))))))))))</f>
        <v>Previsión</v>
      </c>
      <c r="AC46">
        <f t="shared" si="16"/>
        <v>0</v>
      </c>
      <c r="AD46">
        <f>IF(OR(NOT(ISNUMBER(B46)),A46="",NOT(ISNUMBER(Z46)),Z46&lt;=0),0,IF(COUNTIFS($A$9:A46,A46,$B$9:B46,B46,$Z$9:Z46,"&gt;0")=1,1,0))</f>
        <v>1</v>
      </c>
      <c r="AE46">
        <f t="shared" si="17"/>
        <v>0</v>
      </c>
      <c r="AF46">
        <f t="shared" si="18"/>
        <v>0</v>
      </c>
      <c r="AG46" t="str">
        <f>IF(OR(AF46=0,AK46&lt;=0),"",IF(A46="Tsue","Retiro: ","Tanda: ")&amp;ROUND(AE46,3)&amp;" "&amp;F46&amp;". Acordar "&amp;INT(AE46/AK46)&amp;" o "&amp;ROUNDUP(AE46/AK46,0)&amp;IF(A46="Tsue"," envases de 5 L."," porciones de 500 g."))</f>
        <v/>
      </c>
      <c r="AH46">
        <f>IF(COUNTA(A46:E46,H46:I46,K46:L46,N46)=0,0,IF(OR(NOT(ISNUMBER(B46)),B46&lt;'Por semana'!$C$45,B46&gt;'Por semana'!$J$46+6),1,0))</f>
        <v>0</v>
      </c>
      <c r="AI46">
        <f t="shared" si="20"/>
        <v>37</v>
      </c>
      <c r="AJ46">
        <f t="shared" si="21"/>
        <v>1</v>
      </c>
      <c r="AK46">
        <f>IF(R46=0,0,IFERROR(INDEX(criterio!$J$11:$J$22,R46)+0,0))</f>
        <v>5</v>
      </c>
      <c r="AL46" t="str">
        <f t="shared" si="22"/>
        <v>Previsión</v>
      </c>
      <c r="AM46" t="str">
        <f t="shared" si="23"/>
        <v/>
      </c>
    </row>
    <row r="47" spans="1:39" ht="31" customHeight="1">
      <c r="A47" s="5" t="s">
        <v>70</v>
      </c>
      <c r="B47" s="19">
        <v>46374</v>
      </c>
      <c r="C47" s="19">
        <v>46386</v>
      </c>
      <c r="D47" s="19">
        <v>46388</v>
      </c>
      <c r="E47" s="19">
        <v>46402</v>
      </c>
      <c r="F47" s="4" t="str">
        <f>IF(R47=0,"",INDEX(criterio!$B$11:$B$22,R47))</f>
        <v>L</v>
      </c>
      <c r="G47" s="24">
        <f>IFERROR(IF(INDEX(criterio!$B$31:$B$111,MATCH(W47,criterio!$A$31:$A$111,0))=A47,INDEX(criterio!$C$31:$C$111,MATCH(W47,criterio!$A$31:$A$111,0)),""),"")</f>
        <v>3</v>
      </c>
      <c r="H47" s="26"/>
      <c r="I47" s="26"/>
      <c r="J47" s="28" t="str">
        <f t="shared" si="12"/>
        <v/>
      </c>
      <c r="K47" s="20"/>
      <c r="L47" s="21"/>
      <c r="M47" s="26"/>
      <c r="N47" s="26"/>
      <c r="O47" s="6" t="str">
        <f t="shared" si="13"/>
        <v>Previsión</v>
      </c>
      <c r="P47" s="6" t="str">
        <f>IFERROR(IF(AND(INDEX(criterio!$I$31:$I$111,MATCH(W47,criterio!$A$31:$A$111,0))=1,INDEX(criterio!$B$31:$B$111,MATCH(W47,criterio!$A$31:$A$111,0))=A47,ISNUMBER(B47),B47&gt;=criterio!$B$5,D47&lt;=criterio!$B$6,E47&gt;=criterio!$B$5),"Fuera de la previa del 20/12",""),"")</f>
        <v/>
      </c>
      <c r="Q47" s="22">
        <f t="shared" si="14"/>
        <v>46404</v>
      </c>
      <c r="R47">
        <f>IFERROR(MATCH(A47,criterio!$A$11:$A$22,0),0)</f>
        <v>11</v>
      </c>
      <c r="S47">
        <f>IF(R47=0,"",INDEX(criterio!$E$11:$E$22,R47))</f>
        <v>0</v>
      </c>
      <c r="T47">
        <f>IF(R47=0,"",INDEX(criterio!$C$11:$C$22,R47))</f>
        <v>30</v>
      </c>
      <c r="U47" t="str">
        <f>IF(R47=0,"",INDEX(criterio!$D$11:$D$22,R47))</f>
        <v>días</v>
      </c>
      <c r="V47">
        <f>IF(AND(ISNUMBER(B47),B47=Turno!$B$3,OR(AL47="Preparar",AL47="Completar")),MAX($V$8:V46)+1,0)</f>
        <v>0</v>
      </c>
      <c r="W47" t="s">
        <v>84</v>
      </c>
      <c r="Y47" t="str">
        <f>IF(R47=0,"",INDEX(criterio!$I$11:$I$22,R47))</f>
        <v>Heladera 0–5 °C. Solo base.
El cítrico se agrega en barra.</v>
      </c>
      <c r="Z47">
        <f t="shared" si="15"/>
        <v>3</v>
      </c>
      <c r="AA47" t="str">
        <f>IF(OR(A47="",COUNT(B47:C47)&lt;&gt;2),"",IF(OR(WEEKDAY(B47,2)&gt;5,COUNTIF(criterio!$B$25:$E$25,B47)&gt;0),"Cambiar día de elaboración",IF(OR(WEEKDAY(C47,2)&gt;5,COUNTIF(criterio!$B$25:$E$25,C47)&gt;0),"Cambiar día de retiro",IF(SUMIF($B$9:$B$128,B47,$AD$9:$AD$128)&gt;criterio!$D$26,"Más de dos recetas",IF(OR(A47="",NOT(ISNUMBER(B47))),"",IF(OR(NOT(ISNUMBER($Q$2)),NOT(ISNUMBER($Q$3)),$Q$2&lt;=0,$Q$3&lt;=0),"Revisar topes de carga",IF(SUMIFS($Z$9:$Z$128,$B$9:$B$128,B47,$F$9:$F$128,"kg")/$Q$2+SUMIFS($Z$9:$Z$128,$B$9:$B$128,B47,$F$9:$F$128,"L")/$Q$3&gt;1.000001,"Repartir carga del día","")))))))</f>
        <v/>
      </c>
      <c r="AB47" t="str">
        <f>IF(COUNTA(A47:E47,H47:I47,K47:N47)=0,"",IF(R47=0,"Elegir producto",IF(COUNT(B47:E47)&lt;&gt;4,"Completar fechas",IF(E47&lt;D47,"Revisar días de uso",IF(C47+criterio!$B$3&gt;D47,"El retiro llega tarde",IF(AND(N47&lt;&gt;"",OR(NOT(ISNUMBER(N47)),N47&lt;0)),"Revisar cantidad hecha",IF(AND(M47&lt;&gt;"",OR(NOT(ISNUMBER(M47)),M47&lt;0)),"Revisar cant. a adelantar",IF(AND(AND(ISBLANK(H47),L47="Adelanto"),NOT(ISNUMBER(AM47))),"Cargar cant. a adelantar",IF(AND(AND(ISBLANK(H47),L47="Adelanto"),I47&lt;&gt;"",OR(NOT(ISNUMBER(I47)),I47&lt;&gt;0)),"Revisar stock del adelanto",IF(AND(ISNUMBER(N47),N47&gt;0,L47&lt;&gt;"Sí",L47&lt;&gt;"Adelanto",N(M47)&lt;=0),"Hecho sin liberar",IF(AND(ISBLANK(H47),L47&lt;&gt;"Adelanto",OR(I47&lt;&gt;"",L47="Sí")),"Falta pedido real",IF(AND(H47&lt;&gt;"",OR(NOT(ISNUMBER(H47)),H47&lt;0)),"Revisar pedido",IF(AND(ISNUMBER(H47),H47=0,N(M47)&gt;0,N(N47)&gt;0,N(I47)=0),"Reasignar sobrante",IF(AND(ISNUMBER(H47),H47=0,OR(N47&gt;0,I47&gt;0)),"Revisar pedido y cantidades",IF(AND(ISNUMBER(H47),H47=0),"Sin pedido",IF(AND(ISNUMBER(H47),ISBLANK(I47)),"Falta anotar stock",IF(AND(I47&lt;&gt;"",OR(NOT(ISNUMBER(I47)),I47&lt;0,AND(ISNUMBER(H47),I47&gt;H47))),"Revisar stock asignado",IF(AND(ISNUMBER(I47),I47&gt;0,NOT(ISNUMBER(K47))),"Falta vencimiento de stock",IF(AND(ISNUMBER(I47),I47&gt;0,K47&lt;E47+criterio!$B$4),"El stock no cubre el uso",IF(AND(ISNUMBER(H47),ISNUMBER(I47),H47=I47,OR(N47="",N47=0)),"Cubierto con stock",IF(B47=criterio!$B$25,"Jornada bloqueada",IF(B47+S47&gt;C47,"No llega al retiro",IF(Q47&lt;E47,"Vence antes del último uso",IF(Q47&lt;E47+criterio!$B$4,"Falta margen de vida útil",IF(AND(ISBLANK(H47),L47&lt;&gt;"Adelanto",N(N47)&gt;0,N(M47)&gt;0),"Adelanto en pausa",IF(NOT(ISNUMBER(AM47)),"Previsión",IF(AND(ISNUMBER(H47),N(M47)&gt;0,N(N47)&gt;ROUND(H47-N(I47),3)),"Reasignar sobrante",IF(AND(ISNUMBER(N47),N47&gt;ROUND(AM47-N(I47),3)),"Revisar excedente",IF(AND(ISNUMBER(H47),L47&lt;&gt;"Sí",NOT(AND(N(M47)&gt;0,J47=0))),"Por confirmar",IF(J47=0,"Hecho",IF(AND(ISNUMBER(N47),N47&gt;0),"Completar","Preparar")))))))))))))))))))))))))))))))</f>
        <v>Previsión</v>
      </c>
      <c r="AC47">
        <f t="shared" si="16"/>
        <v>0</v>
      </c>
      <c r="AD47">
        <f>IF(OR(NOT(ISNUMBER(B47)),A47="",NOT(ISNUMBER(Z47)),Z47&lt;=0),0,IF(COUNTIFS($A$9:A47,A47,$B$9:B47,B47,$Z$9:Z47,"&gt;0")=1,1,0))</f>
        <v>1</v>
      </c>
      <c r="AE47">
        <f t="shared" si="17"/>
        <v>0</v>
      </c>
      <c r="AF47">
        <f t="shared" si="18"/>
        <v>0</v>
      </c>
      <c r="AG47" t="str">
        <f>IF(OR(AF47=0,AK47&lt;=0),"",IF(A47="Tsue","Retiro: ","Tanda: ")&amp;ROUND(AE47,3)&amp;" "&amp;F47&amp;". Acordar "&amp;INT(AE47/AK47)&amp;" o "&amp;ROUNDUP(AE47/AK47,0)&amp;IF(A47="Tsue"," envases de 5 L."," porciones de 500 g."))</f>
        <v/>
      </c>
      <c r="AH47">
        <f>IF(COUNTA(A47:E47,H47:I47,K47:L47,N47)=0,0,IF(OR(NOT(ISNUMBER(B47)),B47&lt;'Por semana'!$C$45,B47&gt;'Por semana'!$J$46+6),1,0))</f>
        <v>0</v>
      </c>
      <c r="AI47">
        <f t="shared" si="20"/>
        <v>3</v>
      </c>
      <c r="AJ47">
        <f t="shared" si="21"/>
        <v>1</v>
      </c>
      <c r="AK47">
        <f>IF(R47=0,0,IFERROR(INDEX(criterio!$J$11:$J$22,R47)+0,0))</f>
        <v>0</v>
      </c>
      <c r="AL47" t="str">
        <f t="shared" si="22"/>
        <v>Previsión</v>
      </c>
      <c r="AM47" t="str">
        <f t="shared" si="23"/>
        <v/>
      </c>
    </row>
    <row r="48" spans="1:39" ht="31" customHeight="1">
      <c r="A48" s="5" t="s">
        <v>65</v>
      </c>
      <c r="B48" s="19">
        <v>46374</v>
      </c>
      <c r="C48" s="19">
        <v>46394</v>
      </c>
      <c r="D48" s="19">
        <v>46396</v>
      </c>
      <c r="E48" s="19">
        <v>46402</v>
      </c>
      <c r="F48" s="4" t="str">
        <f>IF(R48=0,"",INDEX(criterio!$B$11:$B$22,R48))</f>
        <v>kg</v>
      </c>
      <c r="G48" s="23">
        <f>IFERROR(IF(INDEX(criterio!$B$31:$B$111,MATCH(W48,criterio!$A$31:$A$111,0))=A48,INDEX(criterio!$C$31:$C$111,MATCH(W48,criterio!$A$31:$A$111,0)),""),"")</f>
        <v>18</v>
      </c>
      <c r="H48" s="25"/>
      <c r="I48" s="25"/>
      <c r="J48" s="27" t="str">
        <f t="shared" si="12"/>
        <v/>
      </c>
      <c r="K48" s="20"/>
      <c r="L48" s="21"/>
      <c r="M48" s="25"/>
      <c r="N48" s="25"/>
      <c r="O48" s="6" t="str">
        <f t="shared" si="13"/>
        <v>Previsión</v>
      </c>
      <c r="P48" s="6" t="str">
        <f>IFERROR(IF(AND(INDEX(criterio!$I$31:$I$111,MATCH(W48,criterio!$A$31:$A$111,0))=1,INDEX(criterio!$B$31:$B$111,MATCH(W48,criterio!$A$31:$A$111,0))=A48,ISNUMBER(B48),B48&gt;=criterio!$B$5,D48&lt;=criterio!$B$6,E48&gt;=criterio!$B$5),"Fuera de la previa del 20/12",""),"")</f>
        <v/>
      </c>
      <c r="Q48" s="22">
        <f t="shared" si="14"/>
        <v>46404</v>
      </c>
      <c r="R48">
        <f>IFERROR(MATCH(A48,criterio!$A$11:$A$22,0),0)</f>
        <v>7</v>
      </c>
      <c r="S48">
        <f>IF(R48=0,"",INDEX(criterio!$E$11:$E$22,R48))</f>
        <v>1</v>
      </c>
      <c r="T48">
        <f>IF(R48=0,"",INDEX(criterio!$C$11:$C$22,R48))</f>
        <v>30</v>
      </c>
      <c r="U48" t="str">
        <f>IF(R48=0,"",INDEX(criterio!$D$11:$D$22,R48))</f>
        <v>días</v>
      </c>
      <c r="V48">
        <f>IF(AND(ISNUMBER(B48),B48=Turno!$B$3,OR(AL48="Preparar",AL48="Completar")),MAX($V$8:V47)+1,0)</f>
        <v>0</v>
      </c>
      <c r="W48" t="s">
        <v>85</v>
      </c>
      <c r="Y48" t="str">
        <f>IF(R48=0,"",INDEX(criterio!$I$11:$I$22,R48))</f>
        <v>Heladera 0–5 °C. Marinar 24 h.
Abierto: 7 días, sin superar vencimiento.</v>
      </c>
      <c r="Z48">
        <f t="shared" si="15"/>
        <v>18</v>
      </c>
      <c r="AA48" t="str">
        <f>IF(OR(A48="",COUNT(B48:C48)&lt;&gt;2),"",IF(OR(WEEKDAY(B48,2)&gt;5,COUNTIF(criterio!$B$25:$E$25,B48)&gt;0),"Cambiar día de elaboración",IF(OR(WEEKDAY(C48,2)&gt;5,COUNTIF(criterio!$B$25:$E$25,C48)&gt;0),"Cambiar día de retiro",IF(SUMIF($B$9:$B$128,B48,$AD$9:$AD$128)&gt;criterio!$D$26,"Más de dos recetas",IF(OR(A48="",NOT(ISNUMBER(B48))),"",IF(OR(NOT(ISNUMBER($Q$2)),NOT(ISNUMBER($Q$3)),$Q$2&lt;=0,$Q$3&lt;=0),"Revisar topes de carga",IF(SUMIFS($Z$9:$Z$128,$B$9:$B$128,B48,$F$9:$F$128,"kg")/$Q$2+SUMIFS($Z$9:$Z$128,$B$9:$B$128,B48,$F$9:$F$128,"L")/$Q$3&gt;1.000001,"Repartir carga del día","")))))))</f>
        <v/>
      </c>
      <c r="AB48" t="str">
        <f>IF(COUNTA(A48:E48,H48:I48,K48:N48)=0,"",IF(R48=0,"Elegir producto",IF(COUNT(B48:E48)&lt;&gt;4,"Completar fechas",IF(E48&lt;D48,"Revisar días de uso",IF(C48+criterio!$B$3&gt;D48,"El retiro llega tarde",IF(AND(N48&lt;&gt;"",OR(NOT(ISNUMBER(N48)),N48&lt;0)),"Revisar cantidad hecha",IF(AND(M48&lt;&gt;"",OR(NOT(ISNUMBER(M48)),M48&lt;0)),"Revisar cant. a adelantar",IF(AND(AND(ISBLANK(H48),L48="Adelanto"),NOT(ISNUMBER(AM48))),"Cargar cant. a adelantar",IF(AND(AND(ISBLANK(H48),L48="Adelanto"),I48&lt;&gt;"",OR(NOT(ISNUMBER(I48)),I48&lt;&gt;0)),"Revisar stock del adelanto",IF(AND(ISNUMBER(N48),N48&gt;0,L48&lt;&gt;"Sí",L48&lt;&gt;"Adelanto",N(M48)&lt;=0),"Hecho sin liberar",IF(AND(ISBLANK(H48),L48&lt;&gt;"Adelanto",OR(I48&lt;&gt;"",L48="Sí")),"Falta pedido real",IF(AND(H48&lt;&gt;"",OR(NOT(ISNUMBER(H48)),H48&lt;0)),"Revisar pedido",IF(AND(ISNUMBER(H48),H48=0,N(M48)&gt;0,N(N48)&gt;0,N(I48)=0),"Reasignar sobrante",IF(AND(ISNUMBER(H48),H48=0,OR(N48&gt;0,I48&gt;0)),"Revisar pedido y cantidades",IF(AND(ISNUMBER(H48),H48=0),"Sin pedido",IF(AND(ISNUMBER(H48),ISBLANK(I48)),"Falta anotar stock",IF(AND(I48&lt;&gt;"",OR(NOT(ISNUMBER(I48)),I48&lt;0,AND(ISNUMBER(H48),I48&gt;H48))),"Revisar stock asignado",IF(AND(ISNUMBER(I48),I48&gt;0,NOT(ISNUMBER(K48))),"Falta vencimiento de stock",IF(AND(ISNUMBER(I48),I48&gt;0,K48&lt;E48+criterio!$B$4),"El stock no cubre el uso",IF(AND(ISNUMBER(H48),ISNUMBER(I48),H48=I48,OR(N48="",N48=0)),"Cubierto con stock",IF(B48=criterio!$B$25,"Jornada bloqueada",IF(B48+S48&gt;C48,"No llega al retiro",IF(Q48&lt;E48,"Vence antes del último uso",IF(Q48&lt;E48+criterio!$B$4,"Falta margen de vida útil",IF(AND(ISBLANK(H48),L48&lt;&gt;"Adelanto",N(N48)&gt;0,N(M48)&gt;0),"Adelanto en pausa",IF(NOT(ISNUMBER(AM48)),"Previsión",IF(AND(ISNUMBER(H48),N(M48)&gt;0,N(N48)&gt;ROUND(H48-N(I48),3)),"Reasignar sobrante",IF(AND(ISNUMBER(N48),N48&gt;ROUND(AM48-N(I48),3)),"Revisar excedente",IF(AND(ISNUMBER(H48),L48&lt;&gt;"Sí",NOT(AND(N(M48)&gt;0,J48=0))),"Por confirmar",IF(J48=0,"Hecho",IF(AND(ISNUMBER(N48),N48&gt;0),"Completar","Preparar")))))))))))))))))))))))))))))))</f>
        <v>Previsión</v>
      </c>
      <c r="AC48">
        <f t="shared" si="16"/>
        <v>0</v>
      </c>
      <c r="AD48">
        <f>IF(OR(NOT(ISNUMBER(B48)),A48="",NOT(ISNUMBER(Z48)),Z48&lt;=0),0,IF(COUNTIFS($A$9:A48,A48,$B$9:B48,B48,$Z$9:Z48,"&gt;0")=1,1,0))</f>
        <v>1</v>
      </c>
      <c r="AE48">
        <f t="shared" si="17"/>
        <v>0</v>
      </c>
      <c r="AF48">
        <f t="shared" si="18"/>
        <v>0</v>
      </c>
      <c r="AG48" t="str">
        <f>IF(OR(AF48=0,AK48&lt;=0),"",IF(A48="Tsue","Retiro: ","Tanda: ")&amp;ROUND(AE48,3)&amp;" "&amp;F48&amp;". Acordar "&amp;INT(AE48/AK48)&amp;" o "&amp;ROUNDUP(AE48/AK48,0)&amp;IF(A48="Tsue"," envases de 5 L."," porciones de 500 g."))</f>
        <v/>
      </c>
      <c r="AH48">
        <f>IF(COUNTA(A48:E48,H48:I48,K48:L48,N48)=0,0,IF(OR(NOT(ISNUMBER(B48)),B48&lt;'Por semana'!$C$45,B48&gt;'Por semana'!$J$46+6),1,0))</f>
        <v>0</v>
      </c>
      <c r="AI48">
        <f t="shared" si="20"/>
        <v>18</v>
      </c>
      <c r="AJ48">
        <f t="shared" si="21"/>
        <v>1</v>
      </c>
      <c r="AK48">
        <f>IF(R48=0,0,IFERROR(INDEX(criterio!$J$11:$J$22,R48)+0,0))</f>
        <v>0</v>
      </c>
      <c r="AL48" t="str">
        <f t="shared" si="22"/>
        <v>Previsión</v>
      </c>
      <c r="AM48" t="str">
        <f t="shared" si="23"/>
        <v/>
      </c>
    </row>
    <row r="49" spans="1:39" ht="31" customHeight="1">
      <c r="A49" s="5" t="s">
        <v>59</v>
      </c>
      <c r="B49" s="19">
        <v>46377</v>
      </c>
      <c r="C49" s="19">
        <v>46377</v>
      </c>
      <c r="D49" s="19">
        <v>46378</v>
      </c>
      <c r="E49" s="19">
        <v>46384</v>
      </c>
      <c r="F49" s="4" t="str">
        <f>IF(R49=0,"",INDEX(criterio!$B$11:$B$22,R49))</f>
        <v>kg</v>
      </c>
      <c r="G49" s="23">
        <f>IFERROR(IF(INDEX(criterio!$B$31:$B$111,MATCH(W49,criterio!$A$31:$A$111,0))=A49,INDEX(criterio!$C$31:$C$111,MATCH(W49,criterio!$A$31:$A$111,0)),""),"")</f>
        <v>3.9380000000000002</v>
      </c>
      <c r="H49" s="25"/>
      <c r="I49" s="25"/>
      <c r="J49" s="27" t="str">
        <f t="shared" si="12"/>
        <v/>
      </c>
      <c r="K49" s="20"/>
      <c r="L49" s="21"/>
      <c r="M49" s="25"/>
      <c r="N49" s="25"/>
      <c r="O49" s="6" t="str">
        <f t="shared" si="13"/>
        <v>Previsión</v>
      </c>
      <c r="P49" s="6" t="str">
        <f>IFERROR(IF(AND(INDEX(criterio!$I$31:$I$111,MATCH(W49,criterio!$A$31:$A$111,0))=1,INDEX(criterio!$B$31:$B$111,MATCH(W49,criterio!$A$31:$A$111,0))=A49,ISNUMBER(B49),B49&gt;=criterio!$B$5,D49&lt;=criterio!$B$6,E49&gt;=criterio!$B$5),"Fuera de la previa del 20/12",""),"")</f>
        <v/>
      </c>
      <c r="Q49" s="22">
        <f t="shared" si="14"/>
        <v>46387</v>
      </c>
      <c r="R49">
        <f>IFERROR(MATCH(A49,criterio!$A$11:$A$22,0),0)</f>
        <v>12</v>
      </c>
      <c r="S49">
        <f>IF(R49=0,"",INDEX(criterio!$E$11:$E$22,R49))</f>
        <v>0</v>
      </c>
      <c r="T49">
        <f>IF(R49=0,"",INDEX(criterio!$C$11:$C$22,R49))</f>
        <v>10</v>
      </c>
      <c r="U49" t="str">
        <f>IF(R49=0,"",INDEX(criterio!$D$11:$D$22,R49))</f>
        <v>días</v>
      </c>
      <c r="V49">
        <f>IF(AND(ISNUMBER(B49),B49=Turno!$B$3,OR(AL49="Preparar",AL49="Completar")),MAX($V$8:V48)+1,0)</f>
        <v>0</v>
      </c>
      <c r="W49" t="s">
        <v>86</v>
      </c>
      <c r="Y49" t="str">
        <f>IF(R49=0,"",INDEX(criterio!$I$11:$I$22,R49))</f>
        <v>Heladera 0–5 °C.</v>
      </c>
      <c r="Z49">
        <f t="shared" si="15"/>
        <v>3.9380000000000002</v>
      </c>
      <c r="AA49" t="str">
        <f>IF(OR(A49="",COUNT(B49:C49)&lt;&gt;2),"",IF(OR(WEEKDAY(B49,2)&gt;5,COUNTIF(criterio!$B$25:$E$25,B49)&gt;0),"Cambiar día de elaboración",IF(OR(WEEKDAY(C49,2)&gt;5,COUNTIF(criterio!$B$25:$E$25,C49)&gt;0),"Cambiar día de retiro",IF(SUMIF($B$9:$B$128,B49,$AD$9:$AD$128)&gt;criterio!$D$26,"Más de dos recetas",IF(OR(A49="",NOT(ISNUMBER(B49))),"",IF(OR(NOT(ISNUMBER($Q$2)),NOT(ISNUMBER($Q$3)),$Q$2&lt;=0,$Q$3&lt;=0),"Revisar topes de carga",IF(SUMIFS($Z$9:$Z$128,$B$9:$B$128,B49,$F$9:$F$128,"kg")/$Q$2+SUMIFS($Z$9:$Z$128,$B$9:$B$128,B49,$F$9:$F$128,"L")/$Q$3&gt;1.000001,"Repartir carga del día","")))))))</f>
        <v/>
      </c>
      <c r="AB49" t="str">
        <f>IF(COUNTA(A49:E49,H49:I49,K49:N49)=0,"",IF(R49=0,"Elegir producto",IF(COUNT(B49:E49)&lt;&gt;4,"Completar fechas",IF(E49&lt;D49,"Revisar días de uso",IF(C49+criterio!$B$3&gt;D49,"El retiro llega tarde",IF(AND(N49&lt;&gt;"",OR(NOT(ISNUMBER(N49)),N49&lt;0)),"Revisar cantidad hecha",IF(AND(M49&lt;&gt;"",OR(NOT(ISNUMBER(M49)),M49&lt;0)),"Revisar cant. a adelantar",IF(AND(AND(ISBLANK(H49),L49="Adelanto"),NOT(ISNUMBER(AM49))),"Cargar cant. a adelantar",IF(AND(AND(ISBLANK(H49),L49="Adelanto"),I49&lt;&gt;"",OR(NOT(ISNUMBER(I49)),I49&lt;&gt;0)),"Revisar stock del adelanto",IF(AND(ISNUMBER(N49),N49&gt;0,L49&lt;&gt;"Sí",L49&lt;&gt;"Adelanto",N(M49)&lt;=0),"Hecho sin liberar",IF(AND(ISBLANK(H49),L49&lt;&gt;"Adelanto",OR(I49&lt;&gt;"",L49="Sí")),"Falta pedido real",IF(AND(H49&lt;&gt;"",OR(NOT(ISNUMBER(H49)),H49&lt;0)),"Revisar pedido",IF(AND(ISNUMBER(H49),H49=0,N(M49)&gt;0,N(N49)&gt;0,N(I49)=0),"Reasignar sobrante",IF(AND(ISNUMBER(H49),H49=0,OR(N49&gt;0,I49&gt;0)),"Revisar pedido y cantidades",IF(AND(ISNUMBER(H49),H49=0),"Sin pedido",IF(AND(ISNUMBER(H49),ISBLANK(I49)),"Falta anotar stock",IF(AND(I49&lt;&gt;"",OR(NOT(ISNUMBER(I49)),I49&lt;0,AND(ISNUMBER(H49),I49&gt;H49))),"Revisar stock asignado",IF(AND(ISNUMBER(I49),I49&gt;0,NOT(ISNUMBER(K49))),"Falta vencimiento de stock",IF(AND(ISNUMBER(I49),I49&gt;0,K49&lt;E49+criterio!$B$4),"El stock no cubre el uso",IF(AND(ISNUMBER(H49),ISNUMBER(I49),H49=I49,OR(N49="",N49=0)),"Cubierto con stock",IF(B49=criterio!$B$25,"Jornada bloqueada",IF(B49+S49&gt;C49,"No llega al retiro",IF(Q49&lt;E49,"Vence antes del último uso",IF(Q49&lt;E49+criterio!$B$4,"Falta margen de vida útil",IF(AND(ISBLANK(H49),L49&lt;&gt;"Adelanto",N(N49)&gt;0,N(M49)&gt;0),"Adelanto en pausa",IF(NOT(ISNUMBER(AM49)),"Previsión",IF(AND(ISNUMBER(H49),N(M49)&gt;0,N(N49)&gt;ROUND(H49-N(I49),3)),"Reasignar sobrante",IF(AND(ISNUMBER(N49),N49&gt;ROUND(AM49-N(I49),3)),"Revisar excedente",IF(AND(ISNUMBER(H49),L49&lt;&gt;"Sí",NOT(AND(N(M49)&gt;0,J49=0))),"Por confirmar",IF(J49=0,"Hecho",IF(AND(ISNUMBER(N49),N49&gt;0),"Completar","Preparar")))))))))))))))))))))))))))))))</f>
        <v>Previsión</v>
      </c>
      <c r="AC49">
        <f t="shared" si="16"/>
        <v>0</v>
      </c>
      <c r="AD49">
        <f>IF(OR(NOT(ISNUMBER(B49)),A49="",NOT(ISNUMBER(Z49)),Z49&lt;=0),0,IF(COUNTIFS($A$9:A49,A49,$B$9:B49,B49,$Z$9:Z49,"&gt;0")=1,1,0))</f>
        <v>1</v>
      </c>
      <c r="AE49">
        <f t="shared" si="17"/>
        <v>3.9380000000000002</v>
      </c>
      <c r="AF49">
        <f t="shared" si="18"/>
        <v>1</v>
      </c>
      <c r="AG49" t="str">
        <f>IF(OR(AF49=0,AK49&lt;=0),"",IF(A49="Tsue","Retiro: ","Tanda: ")&amp;ROUND(AE49,3)&amp;" "&amp;F49&amp;". Acordar "&amp;INT(AE49/AK49)&amp;" o "&amp;ROUNDUP(AE49/AK49,0)&amp;IF(A49="Tsue"," envases de 5 L."," porciones de 500 g."))</f>
        <v>Tanda: 3.938 kg. Acordar 7 o 8 porciones de 500 g.</v>
      </c>
      <c r="AH49">
        <f>IF(COUNTA(A49:E49,H49:I49,K49:L49,N49)=0,0,IF(OR(NOT(ISNUMBER(B49)),B49&lt;'Por semana'!$C$45,B49&gt;'Por semana'!$J$46+6),1,0))</f>
        <v>0</v>
      </c>
      <c r="AI49">
        <f t="shared" si="20"/>
        <v>3.9380000000000002</v>
      </c>
      <c r="AJ49">
        <f t="shared" si="21"/>
        <v>1</v>
      </c>
      <c r="AK49">
        <f>IF(R49=0,0,IFERROR(INDEX(criterio!$J$11:$J$22,R49)+0,0))</f>
        <v>0.5</v>
      </c>
      <c r="AL49" t="str">
        <f t="shared" si="22"/>
        <v>Previsión</v>
      </c>
      <c r="AM49" t="str">
        <f t="shared" si="23"/>
        <v/>
      </c>
    </row>
    <row r="50" spans="1:39" ht="31" customHeight="1">
      <c r="A50" s="5" t="s">
        <v>53</v>
      </c>
      <c r="B50" s="19">
        <v>46377</v>
      </c>
      <c r="C50" s="19">
        <v>46394</v>
      </c>
      <c r="D50" s="19">
        <v>46396</v>
      </c>
      <c r="E50" s="19">
        <v>46402</v>
      </c>
      <c r="F50" s="4" t="str">
        <f>IF(R50=0,"",INDEX(criterio!$B$11:$B$22,R50))</f>
        <v>kg</v>
      </c>
      <c r="G50" s="23">
        <f>IFERROR(IF(INDEX(criterio!$B$31:$B$111,MATCH(W50,criterio!$A$31:$A$111,0))=A50,INDEX(criterio!$C$31:$C$111,MATCH(W50,criterio!$A$31:$A$111,0)),""),"")</f>
        <v>13</v>
      </c>
      <c r="H50" s="25"/>
      <c r="I50" s="25"/>
      <c r="J50" s="27" t="str">
        <f t="shared" si="12"/>
        <v/>
      </c>
      <c r="K50" s="20"/>
      <c r="L50" s="21"/>
      <c r="M50" s="25"/>
      <c r="N50" s="25"/>
      <c r="O50" s="6" t="str">
        <f t="shared" si="13"/>
        <v>Previsión</v>
      </c>
      <c r="P50" s="6" t="str">
        <f>IFERROR(IF(AND(INDEX(criterio!$I$31:$I$111,MATCH(W50,criterio!$A$31:$A$111,0))=1,INDEX(criterio!$B$31:$B$111,MATCH(W50,criterio!$A$31:$A$111,0))=A50,ISNUMBER(B50),B50&gt;=criterio!$B$5,D50&lt;=criterio!$B$6,E50&gt;=criterio!$B$5),"Fuera de la previa del 20/12",""),"")</f>
        <v/>
      </c>
      <c r="Q50" s="22">
        <f t="shared" si="14"/>
        <v>46407</v>
      </c>
      <c r="R50">
        <f>IFERROR(MATCH(A50,criterio!$A$11:$A$22,0),0)</f>
        <v>6</v>
      </c>
      <c r="S50">
        <f>IF(R50=0,"",INDEX(criterio!$E$11:$E$22,R50))</f>
        <v>0</v>
      </c>
      <c r="T50">
        <f>IF(R50=0,"",INDEX(criterio!$C$11:$C$22,R50))</f>
        <v>30</v>
      </c>
      <c r="U50" t="str">
        <f>IF(R50=0,"",INDEX(criterio!$D$11:$D$22,R50))</f>
        <v>días</v>
      </c>
      <c r="V50">
        <f>IF(AND(ISNUMBER(B50),B50=Turno!$B$3,OR(AL50="Preparar",AL50="Completar")),MAX($V$8:V49)+1,0)</f>
        <v>0</v>
      </c>
      <c r="W50" t="s">
        <v>87</v>
      </c>
      <c r="Y50" t="str">
        <f>IF(R50=0,"",INDEX(criterio!$I$11:$I$22,R50))</f>
        <v>Heladera 0–5 °C.
Abierto en topinera: 7 días, sin superar vencimiento.</v>
      </c>
      <c r="Z50">
        <f t="shared" si="15"/>
        <v>13</v>
      </c>
      <c r="AA50" t="str">
        <f>IF(OR(A50="",COUNT(B50:C50)&lt;&gt;2),"",IF(OR(WEEKDAY(B50,2)&gt;5,COUNTIF(criterio!$B$25:$E$25,B50)&gt;0),"Cambiar día de elaboración",IF(OR(WEEKDAY(C50,2)&gt;5,COUNTIF(criterio!$B$25:$E$25,C50)&gt;0),"Cambiar día de retiro",IF(SUMIF($B$9:$B$128,B50,$AD$9:$AD$128)&gt;criterio!$D$26,"Más de dos recetas",IF(OR(A50="",NOT(ISNUMBER(B50))),"",IF(OR(NOT(ISNUMBER($Q$2)),NOT(ISNUMBER($Q$3)),$Q$2&lt;=0,$Q$3&lt;=0),"Revisar topes de carga",IF(SUMIFS($Z$9:$Z$128,$B$9:$B$128,B50,$F$9:$F$128,"kg")/$Q$2+SUMIFS($Z$9:$Z$128,$B$9:$B$128,B50,$F$9:$F$128,"L")/$Q$3&gt;1.000001,"Repartir carga del día","")))))))</f>
        <v/>
      </c>
      <c r="AB50" t="str">
        <f>IF(COUNTA(A50:E50,H50:I50,K50:N50)=0,"",IF(R50=0,"Elegir producto",IF(COUNT(B50:E50)&lt;&gt;4,"Completar fechas",IF(E50&lt;D50,"Revisar días de uso",IF(C50+criterio!$B$3&gt;D50,"El retiro llega tarde",IF(AND(N50&lt;&gt;"",OR(NOT(ISNUMBER(N50)),N50&lt;0)),"Revisar cantidad hecha",IF(AND(M50&lt;&gt;"",OR(NOT(ISNUMBER(M50)),M50&lt;0)),"Revisar cant. a adelantar",IF(AND(AND(ISBLANK(H50),L50="Adelanto"),NOT(ISNUMBER(AM50))),"Cargar cant. a adelantar",IF(AND(AND(ISBLANK(H50),L50="Adelanto"),I50&lt;&gt;"",OR(NOT(ISNUMBER(I50)),I50&lt;&gt;0)),"Revisar stock del adelanto",IF(AND(ISNUMBER(N50),N50&gt;0,L50&lt;&gt;"Sí",L50&lt;&gt;"Adelanto",N(M50)&lt;=0),"Hecho sin liberar",IF(AND(ISBLANK(H50),L50&lt;&gt;"Adelanto",OR(I50&lt;&gt;"",L50="Sí")),"Falta pedido real",IF(AND(H50&lt;&gt;"",OR(NOT(ISNUMBER(H50)),H50&lt;0)),"Revisar pedido",IF(AND(ISNUMBER(H50),H50=0,N(M50)&gt;0,N(N50)&gt;0,N(I50)=0),"Reasignar sobrante",IF(AND(ISNUMBER(H50),H50=0,OR(N50&gt;0,I50&gt;0)),"Revisar pedido y cantidades",IF(AND(ISNUMBER(H50),H50=0),"Sin pedido",IF(AND(ISNUMBER(H50),ISBLANK(I50)),"Falta anotar stock",IF(AND(I50&lt;&gt;"",OR(NOT(ISNUMBER(I50)),I50&lt;0,AND(ISNUMBER(H50),I50&gt;H50))),"Revisar stock asignado",IF(AND(ISNUMBER(I50),I50&gt;0,NOT(ISNUMBER(K50))),"Falta vencimiento de stock",IF(AND(ISNUMBER(I50),I50&gt;0,K50&lt;E50+criterio!$B$4),"El stock no cubre el uso",IF(AND(ISNUMBER(H50),ISNUMBER(I50),H50=I50,OR(N50="",N50=0)),"Cubierto con stock",IF(B50=criterio!$B$25,"Jornada bloqueada",IF(B50+S50&gt;C50,"No llega al retiro",IF(Q50&lt;E50,"Vence antes del último uso",IF(Q50&lt;E50+criterio!$B$4,"Falta margen de vida útil",IF(AND(ISBLANK(H50),L50&lt;&gt;"Adelanto",N(N50)&gt;0,N(M50)&gt;0),"Adelanto en pausa",IF(NOT(ISNUMBER(AM50)),"Previsión",IF(AND(ISNUMBER(H50),N(M50)&gt;0,N(N50)&gt;ROUND(H50-N(I50),3)),"Reasignar sobrante",IF(AND(ISNUMBER(N50),N50&gt;ROUND(AM50-N(I50),3)),"Revisar excedente",IF(AND(ISNUMBER(H50),L50&lt;&gt;"Sí",NOT(AND(N(M50)&gt;0,J50=0))),"Por confirmar",IF(J50=0,"Hecho",IF(AND(ISNUMBER(N50),N50&gt;0),"Completar","Preparar")))))))))))))))))))))))))))))))</f>
        <v>Previsión</v>
      </c>
      <c r="AC50">
        <f t="shared" si="16"/>
        <v>0</v>
      </c>
      <c r="AD50">
        <f>IF(OR(NOT(ISNUMBER(B50)),A50="",NOT(ISNUMBER(Z50)),Z50&lt;=0),0,IF(COUNTIFS($A$9:A50,A50,$B$9:B50,B50,$Z$9:Z50,"&gt;0")=1,1,0))</f>
        <v>1</v>
      </c>
      <c r="AE50">
        <f t="shared" si="17"/>
        <v>0</v>
      </c>
      <c r="AF50">
        <f t="shared" si="18"/>
        <v>0</v>
      </c>
      <c r="AG50" t="str">
        <f>IF(OR(AF50=0,AK50&lt;=0),"",IF(A50="Tsue","Retiro: ","Tanda: ")&amp;ROUND(AE50,3)&amp;" "&amp;F50&amp;". Acordar "&amp;INT(AE50/AK50)&amp;" o "&amp;ROUNDUP(AE50/AK50,0)&amp;IF(A50="Tsue"," envases de 5 L."," porciones de 500 g."))</f>
        <v/>
      </c>
      <c r="AH50">
        <f>IF(COUNTA(A50:E50,H50:I50,K50:L50,N50)=0,0,IF(OR(NOT(ISNUMBER(B50)),B50&lt;'Por semana'!$C$45,B50&gt;'Por semana'!$J$46+6),1,0))</f>
        <v>0</v>
      </c>
      <c r="AI50">
        <f t="shared" si="20"/>
        <v>13</v>
      </c>
      <c r="AJ50">
        <f t="shared" si="21"/>
        <v>1</v>
      </c>
      <c r="AK50">
        <f>IF(R50=0,0,IFERROR(INDEX(criterio!$J$11:$J$22,R50)+0,0))</f>
        <v>0</v>
      </c>
      <c r="AL50" t="str">
        <f t="shared" si="22"/>
        <v>Previsión</v>
      </c>
      <c r="AM50" t="str">
        <f t="shared" si="23"/>
        <v/>
      </c>
    </row>
    <row r="51" spans="1:39" ht="31" customHeight="1">
      <c r="A51" s="5" t="s">
        <v>51</v>
      </c>
      <c r="B51" s="19">
        <v>46378</v>
      </c>
      <c r="C51" s="19">
        <v>46386</v>
      </c>
      <c r="D51" s="19">
        <v>46388</v>
      </c>
      <c r="E51" s="19">
        <v>46402</v>
      </c>
      <c r="F51" s="4" t="str">
        <f>IF(R51=0,"",INDEX(criterio!$B$11:$B$22,R51))</f>
        <v>L</v>
      </c>
      <c r="G51" s="24">
        <f>IFERROR(IF(INDEX(criterio!$B$31:$B$111,MATCH(W51,criterio!$A$31:$A$111,0))=A51,INDEX(criterio!$C$31:$C$111,MATCH(W51,criterio!$A$31:$A$111,0)),""),"")</f>
        <v>5</v>
      </c>
      <c r="H51" s="26"/>
      <c r="I51" s="26"/>
      <c r="J51" s="28" t="str">
        <f t="shared" si="12"/>
        <v/>
      </c>
      <c r="K51" s="20"/>
      <c r="L51" s="21"/>
      <c r="M51" s="26"/>
      <c r="N51" s="26"/>
      <c r="O51" s="6" t="str">
        <f t="shared" si="13"/>
        <v>Previsión</v>
      </c>
      <c r="P51" s="6" t="str">
        <f>IFERROR(IF(AND(INDEX(criterio!$I$31:$I$111,MATCH(W51,criterio!$A$31:$A$111,0))=1,INDEX(criterio!$B$31:$B$111,MATCH(W51,criterio!$A$31:$A$111,0))=A51,ISNUMBER(B51),B51&gt;=criterio!$B$5,D51&lt;=criterio!$B$6,E51&gt;=criterio!$B$5),"Fuera de la previa del 20/12",""),"")</f>
        <v/>
      </c>
      <c r="Q51" s="22">
        <f t="shared" si="14"/>
        <v>46409</v>
      </c>
      <c r="R51">
        <f>IFERROR(MATCH(A51,criterio!$A$11:$A$22,0),0)</f>
        <v>10</v>
      </c>
      <c r="S51">
        <f>IF(R51=0,"",INDEX(criterio!$E$11:$E$22,R51))</f>
        <v>0</v>
      </c>
      <c r="T51">
        <f>IF(R51=0,"",INDEX(criterio!$C$11:$C$22,R51))</f>
        <v>1</v>
      </c>
      <c r="U51" t="str">
        <f>IF(R51=0,"",INDEX(criterio!$D$11:$D$22,R51))</f>
        <v>mes</v>
      </c>
      <c r="V51">
        <f>IF(AND(ISNUMBER(B51),B51=Turno!$B$3,OR(AL51="Preparar",AL51="Completar")),MAX($V$8:V50)+1,0)</f>
        <v>0</v>
      </c>
      <c r="W51" t="s">
        <v>88</v>
      </c>
      <c r="Y51" t="str">
        <f>IF(R51=0,"",INDEX(criterio!$I$11:$I$22,R51))</f>
        <v>Heladera 0–5 °C.</v>
      </c>
      <c r="Z51">
        <f t="shared" si="15"/>
        <v>5</v>
      </c>
      <c r="AA51" t="str">
        <f>IF(OR(A51="",COUNT(B51:C51)&lt;&gt;2),"",IF(OR(WEEKDAY(B51,2)&gt;5,COUNTIF(criterio!$B$25:$E$25,B51)&gt;0),"Cambiar día de elaboración",IF(OR(WEEKDAY(C51,2)&gt;5,COUNTIF(criterio!$B$25:$E$25,C51)&gt;0),"Cambiar día de retiro",IF(SUMIF($B$9:$B$128,B51,$AD$9:$AD$128)&gt;criterio!$D$26,"Más de dos recetas",IF(OR(A51="",NOT(ISNUMBER(B51))),"",IF(OR(NOT(ISNUMBER($Q$2)),NOT(ISNUMBER($Q$3)),$Q$2&lt;=0,$Q$3&lt;=0),"Revisar topes de carga",IF(SUMIFS($Z$9:$Z$128,$B$9:$B$128,B51,$F$9:$F$128,"kg")/$Q$2+SUMIFS($Z$9:$Z$128,$B$9:$B$128,B51,$F$9:$F$128,"L")/$Q$3&gt;1.000001,"Repartir carga del día","")))))))</f>
        <v/>
      </c>
      <c r="AB51" t="str">
        <f>IF(COUNTA(A51:E51,H51:I51,K51:N51)=0,"",IF(R51=0,"Elegir producto",IF(COUNT(B51:E51)&lt;&gt;4,"Completar fechas",IF(E51&lt;D51,"Revisar días de uso",IF(C51+criterio!$B$3&gt;D51,"El retiro llega tarde",IF(AND(N51&lt;&gt;"",OR(NOT(ISNUMBER(N51)),N51&lt;0)),"Revisar cantidad hecha",IF(AND(M51&lt;&gt;"",OR(NOT(ISNUMBER(M51)),M51&lt;0)),"Revisar cant. a adelantar",IF(AND(AND(ISBLANK(H51),L51="Adelanto"),NOT(ISNUMBER(AM51))),"Cargar cant. a adelantar",IF(AND(AND(ISBLANK(H51),L51="Adelanto"),I51&lt;&gt;"",OR(NOT(ISNUMBER(I51)),I51&lt;&gt;0)),"Revisar stock del adelanto",IF(AND(ISNUMBER(N51),N51&gt;0,L51&lt;&gt;"Sí",L51&lt;&gt;"Adelanto",N(M51)&lt;=0),"Hecho sin liberar",IF(AND(ISBLANK(H51),L51&lt;&gt;"Adelanto",OR(I51&lt;&gt;"",L51="Sí")),"Falta pedido real",IF(AND(H51&lt;&gt;"",OR(NOT(ISNUMBER(H51)),H51&lt;0)),"Revisar pedido",IF(AND(ISNUMBER(H51),H51=0,N(M51)&gt;0,N(N51)&gt;0,N(I51)=0),"Reasignar sobrante",IF(AND(ISNUMBER(H51),H51=0,OR(N51&gt;0,I51&gt;0)),"Revisar pedido y cantidades",IF(AND(ISNUMBER(H51),H51=0),"Sin pedido",IF(AND(ISNUMBER(H51),ISBLANK(I51)),"Falta anotar stock",IF(AND(I51&lt;&gt;"",OR(NOT(ISNUMBER(I51)),I51&lt;0,AND(ISNUMBER(H51),I51&gt;H51))),"Revisar stock asignado",IF(AND(ISNUMBER(I51),I51&gt;0,NOT(ISNUMBER(K51))),"Falta vencimiento de stock",IF(AND(ISNUMBER(I51),I51&gt;0,K51&lt;E51+criterio!$B$4),"El stock no cubre el uso",IF(AND(ISNUMBER(H51),ISNUMBER(I51),H51=I51,OR(N51="",N51=0)),"Cubierto con stock",IF(B51=criterio!$B$25,"Jornada bloqueada",IF(B51+S51&gt;C51,"No llega al retiro",IF(Q51&lt;E51,"Vence antes del último uso",IF(Q51&lt;E51+criterio!$B$4,"Falta margen de vida útil",IF(AND(ISBLANK(H51),L51&lt;&gt;"Adelanto",N(N51)&gt;0,N(M51)&gt;0),"Adelanto en pausa",IF(NOT(ISNUMBER(AM51)),"Previsión",IF(AND(ISNUMBER(H51),N(M51)&gt;0,N(N51)&gt;ROUND(H51-N(I51),3)),"Reasignar sobrante",IF(AND(ISNUMBER(N51),N51&gt;ROUND(AM51-N(I51),3)),"Revisar excedente",IF(AND(ISNUMBER(H51),L51&lt;&gt;"Sí",NOT(AND(N(M51)&gt;0,J51=0))),"Por confirmar",IF(J51=0,"Hecho",IF(AND(ISNUMBER(N51),N51&gt;0),"Completar","Preparar")))))))))))))))))))))))))))))))</f>
        <v>Previsión</v>
      </c>
      <c r="AC51">
        <f t="shared" si="16"/>
        <v>0</v>
      </c>
      <c r="AD51">
        <f>IF(OR(NOT(ISNUMBER(B51)),A51="",NOT(ISNUMBER(Z51)),Z51&lt;=0),0,IF(COUNTIFS($A$9:A51,A51,$B$9:B51,B51,$Z$9:Z51,"&gt;0")=1,1,0))</f>
        <v>1</v>
      </c>
      <c r="AE51">
        <f t="shared" si="17"/>
        <v>0</v>
      </c>
      <c r="AF51">
        <f t="shared" si="18"/>
        <v>0</v>
      </c>
      <c r="AG51" t="str">
        <f>IF(OR(AF51=0,AK51&lt;=0),"",IF(A51="Tsue","Retiro: ","Tanda: ")&amp;ROUND(AE51,3)&amp;" "&amp;F51&amp;". Acordar "&amp;INT(AE51/AK51)&amp;" o "&amp;ROUNDUP(AE51/AK51,0)&amp;IF(A51="Tsue"," envases de 5 L."," porciones de 500 g."))</f>
        <v/>
      </c>
      <c r="AH51">
        <f>IF(COUNTA(A51:E51,H51:I51,K51:L51,N51)=0,0,IF(OR(NOT(ISNUMBER(B51)),B51&lt;'Por semana'!$C$45,B51&gt;'Por semana'!$J$46+6),1,0))</f>
        <v>0</v>
      </c>
      <c r="AI51">
        <f t="shared" si="20"/>
        <v>5</v>
      </c>
      <c r="AJ51">
        <f t="shared" si="21"/>
        <v>1</v>
      </c>
      <c r="AK51">
        <f>IF(R51=0,0,IFERROR(INDEX(criterio!$J$11:$J$22,R51)+0,0))</f>
        <v>0</v>
      </c>
      <c r="AL51" t="str">
        <f t="shared" si="22"/>
        <v>Previsión</v>
      </c>
      <c r="AM51" t="str">
        <f t="shared" si="23"/>
        <v/>
      </c>
    </row>
    <row r="52" spans="1:39" ht="31" customHeight="1">
      <c r="A52" s="5" t="s">
        <v>49</v>
      </c>
      <c r="B52" s="19">
        <v>46378</v>
      </c>
      <c r="C52" s="19">
        <v>46394</v>
      </c>
      <c r="D52" s="19">
        <v>46396</v>
      </c>
      <c r="E52" s="19">
        <v>46402</v>
      </c>
      <c r="F52" s="4" t="str">
        <f>IF(R52=0,"",INDEX(criterio!$B$11:$B$22,R52))</f>
        <v>L</v>
      </c>
      <c r="G52" s="24">
        <f>IFERROR(IF(INDEX(criterio!$B$31:$B$111,MATCH(W52,criterio!$A$31:$A$111,0))=A52,INDEX(criterio!$C$31:$C$111,MATCH(W52,criterio!$A$31:$A$111,0)),""),"")</f>
        <v>7</v>
      </c>
      <c r="H52" s="26"/>
      <c r="I52" s="26"/>
      <c r="J52" s="28" t="str">
        <f t="shared" si="12"/>
        <v/>
      </c>
      <c r="K52" s="20"/>
      <c r="L52" s="21"/>
      <c r="M52" s="26"/>
      <c r="N52" s="26"/>
      <c r="O52" s="6" t="str">
        <f t="shared" si="13"/>
        <v>Previsión</v>
      </c>
      <c r="P52" s="6" t="str">
        <f>IFERROR(IF(AND(INDEX(criterio!$I$31:$I$111,MATCH(W52,criterio!$A$31:$A$111,0))=1,INDEX(criterio!$B$31:$B$111,MATCH(W52,criterio!$A$31:$A$111,0))=A52,ISNUMBER(B52),B52&gt;=criterio!$B$5,D52&lt;=criterio!$B$6,E52&gt;=criterio!$B$5),"Fuera de la previa del 20/12",""),"")</f>
        <v/>
      </c>
      <c r="Q52" s="22">
        <f t="shared" si="14"/>
        <v>46409</v>
      </c>
      <c r="R52">
        <f>IFERROR(MATCH(A52,criterio!$A$11:$A$22,0),0)</f>
        <v>9</v>
      </c>
      <c r="S52">
        <f>IF(R52=0,"",INDEX(criterio!$E$11:$E$22,R52))</f>
        <v>0</v>
      </c>
      <c r="T52">
        <f>IF(R52=0,"",INDEX(criterio!$C$11:$C$22,R52))</f>
        <v>1</v>
      </c>
      <c r="U52" t="str">
        <f>IF(R52=0,"",INDEX(criterio!$D$11:$D$22,R52))</f>
        <v>mes</v>
      </c>
      <c r="V52">
        <f>IF(AND(ISNUMBER(B52),B52=Turno!$B$3,OR(AL52="Preparar",AL52="Completar")),MAX($V$8:V51)+1,0)</f>
        <v>0</v>
      </c>
      <c r="W52" t="s">
        <v>89</v>
      </c>
      <c r="Y52" t="str">
        <f>IF(R52=0,"",INDEX(criterio!$I$11:$I$22,R52))</f>
        <v>Temperatura ambiente.</v>
      </c>
      <c r="Z52">
        <f t="shared" si="15"/>
        <v>7</v>
      </c>
      <c r="AA52" t="str">
        <f>IF(OR(A52="",COUNT(B52:C52)&lt;&gt;2),"",IF(OR(WEEKDAY(B52,2)&gt;5,COUNTIF(criterio!$B$25:$E$25,B52)&gt;0),"Cambiar día de elaboración",IF(OR(WEEKDAY(C52,2)&gt;5,COUNTIF(criterio!$B$25:$E$25,C52)&gt;0),"Cambiar día de retiro",IF(SUMIF($B$9:$B$128,B52,$AD$9:$AD$128)&gt;criterio!$D$26,"Más de dos recetas",IF(OR(A52="",NOT(ISNUMBER(B52))),"",IF(OR(NOT(ISNUMBER($Q$2)),NOT(ISNUMBER($Q$3)),$Q$2&lt;=0,$Q$3&lt;=0),"Revisar topes de carga",IF(SUMIFS($Z$9:$Z$128,$B$9:$B$128,B52,$F$9:$F$128,"kg")/$Q$2+SUMIFS($Z$9:$Z$128,$B$9:$B$128,B52,$F$9:$F$128,"L")/$Q$3&gt;1.000001,"Repartir carga del día","")))))))</f>
        <v/>
      </c>
      <c r="AB52" t="str">
        <f>IF(COUNTA(A52:E52,H52:I52,K52:N52)=0,"",IF(R52=0,"Elegir producto",IF(COUNT(B52:E52)&lt;&gt;4,"Completar fechas",IF(E52&lt;D52,"Revisar días de uso",IF(C52+criterio!$B$3&gt;D52,"El retiro llega tarde",IF(AND(N52&lt;&gt;"",OR(NOT(ISNUMBER(N52)),N52&lt;0)),"Revisar cantidad hecha",IF(AND(M52&lt;&gt;"",OR(NOT(ISNUMBER(M52)),M52&lt;0)),"Revisar cant. a adelantar",IF(AND(AND(ISBLANK(H52),L52="Adelanto"),NOT(ISNUMBER(AM52))),"Cargar cant. a adelantar",IF(AND(AND(ISBLANK(H52),L52="Adelanto"),I52&lt;&gt;"",OR(NOT(ISNUMBER(I52)),I52&lt;&gt;0)),"Revisar stock del adelanto",IF(AND(ISNUMBER(N52),N52&gt;0,L52&lt;&gt;"Sí",L52&lt;&gt;"Adelanto",N(M52)&lt;=0),"Hecho sin liberar",IF(AND(ISBLANK(H52),L52&lt;&gt;"Adelanto",OR(I52&lt;&gt;"",L52="Sí")),"Falta pedido real",IF(AND(H52&lt;&gt;"",OR(NOT(ISNUMBER(H52)),H52&lt;0)),"Revisar pedido",IF(AND(ISNUMBER(H52),H52=0,N(M52)&gt;0,N(N52)&gt;0,N(I52)=0),"Reasignar sobrante",IF(AND(ISNUMBER(H52),H52=0,OR(N52&gt;0,I52&gt;0)),"Revisar pedido y cantidades",IF(AND(ISNUMBER(H52),H52=0),"Sin pedido",IF(AND(ISNUMBER(H52),ISBLANK(I52)),"Falta anotar stock",IF(AND(I52&lt;&gt;"",OR(NOT(ISNUMBER(I52)),I52&lt;0,AND(ISNUMBER(H52),I52&gt;H52))),"Revisar stock asignado",IF(AND(ISNUMBER(I52),I52&gt;0,NOT(ISNUMBER(K52))),"Falta vencimiento de stock",IF(AND(ISNUMBER(I52),I52&gt;0,K52&lt;E52+criterio!$B$4),"El stock no cubre el uso",IF(AND(ISNUMBER(H52),ISNUMBER(I52),H52=I52,OR(N52="",N52=0)),"Cubierto con stock",IF(B52=criterio!$B$25,"Jornada bloqueada",IF(B52+S52&gt;C52,"No llega al retiro",IF(Q52&lt;E52,"Vence antes del último uso",IF(Q52&lt;E52+criterio!$B$4,"Falta margen de vida útil",IF(AND(ISBLANK(H52),L52&lt;&gt;"Adelanto",N(N52)&gt;0,N(M52)&gt;0),"Adelanto en pausa",IF(NOT(ISNUMBER(AM52)),"Previsión",IF(AND(ISNUMBER(H52),N(M52)&gt;0,N(N52)&gt;ROUND(H52-N(I52),3)),"Reasignar sobrante",IF(AND(ISNUMBER(N52),N52&gt;ROUND(AM52-N(I52),3)),"Revisar excedente",IF(AND(ISNUMBER(H52),L52&lt;&gt;"Sí",NOT(AND(N(M52)&gt;0,J52=0))),"Por confirmar",IF(J52=0,"Hecho",IF(AND(ISNUMBER(N52),N52&gt;0),"Completar","Preparar")))))))))))))))))))))))))))))))</f>
        <v>Previsión</v>
      </c>
      <c r="AC52">
        <f t="shared" si="16"/>
        <v>0</v>
      </c>
      <c r="AD52">
        <f>IF(OR(NOT(ISNUMBER(B52)),A52="",NOT(ISNUMBER(Z52)),Z52&lt;=0),0,IF(COUNTIFS($A$9:A52,A52,$B$9:B52,B52,$Z$9:Z52,"&gt;0")=1,1,0))</f>
        <v>1</v>
      </c>
      <c r="AE52">
        <f t="shared" si="17"/>
        <v>0</v>
      </c>
      <c r="AF52">
        <f t="shared" si="18"/>
        <v>0</v>
      </c>
      <c r="AG52" t="str">
        <f>IF(OR(AF52=0,AK52&lt;=0),"",IF(A52="Tsue","Retiro: ","Tanda: ")&amp;ROUND(AE52,3)&amp;" "&amp;F52&amp;". Acordar "&amp;INT(AE52/AK52)&amp;" o "&amp;ROUNDUP(AE52/AK52,0)&amp;IF(A52="Tsue"," envases de 5 L."," porciones de 500 g."))</f>
        <v/>
      </c>
      <c r="AH52">
        <f>IF(COUNTA(A52:E52,H52:I52,K52:L52,N52)=0,0,IF(OR(NOT(ISNUMBER(B52)),B52&lt;'Por semana'!$C$45,B52&gt;'Por semana'!$J$46+6),1,0))</f>
        <v>0</v>
      </c>
      <c r="AI52">
        <f t="shared" si="20"/>
        <v>7</v>
      </c>
      <c r="AJ52">
        <f t="shared" si="21"/>
        <v>1</v>
      </c>
      <c r="AK52">
        <f>IF(R52=0,0,IFERROR(INDEX(criterio!$J$11:$J$22,R52)+0,0))</f>
        <v>0</v>
      </c>
      <c r="AL52" t="str">
        <f t="shared" si="22"/>
        <v>Previsión</v>
      </c>
      <c r="AM52" t="str">
        <f t="shared" si="23"/>
        <v/>
      </c>
    </row>
    <row r="53" spans="1:39" ht="31" customHeight="1">
      <c r="A53" s="5" t="s">
        <v>46</v>
      </c>
      <c r="B53" s="19">
        <v>46379</v>
      </c>
      <c r="C53" s="19">
        <v>46402</v>
      </c>
      <c r="D53" s="19">
        <v>46403</v>
      </c>
      <c r="E53" s="19">
        <v>46418</v>
      </c>
      <c r="F53" s="4" t="str">
        <f>IF(R53=0,"",INDEX(criterio!$B$11:$B$22,R53))</f>
        <v>kg</v>
      </c>
      <c r="G53" s="23">
        <f>IFERROR(IF(INDEX(criterio!$B$31:$B$111,MATCH(W53,criterio!$A$31:$A$111,0))=A53,INDEX(criterio!$C$31:$C$111,MATCH(W53,criterio!$A$31:$A$111,0)),""),"")</f>
        <v>3</v>
      </c>
      <c r="H53" s="25"/>
      <c r="I53" s="25"/>
      <c r="J53" s="27" t="str">
        <f t="shared" si="12"/>
        <v/>
      </c>
      <c r="K53" s="20"/>
      <c r="L53" s="21"/>
      <c r="M53" s="25"/>
      <c r="N53" s="25"/>
      <c r="O53" s="6" t="str">
        <f t="shared" si="13"/>
        <v>Previsión</v>
      </c>
      <c r="P53" s="6" t="str">
        <f>IFERROR(IF(AND(INDEX(criterio!$I$31:$I$111,MATCH(W53,criterio!$A$31:$A$111,0))=1,INDEX(criterio!$B$31:$B$111,MATCH(W53,criterio!$A$31:$A$111,0))=A53,ISNUMBER(B53),B53&gt;=criterio!$B$5,D53&lt;=criterio!$B$6,E53&gt;=criterio!$B$5),"Fuera de la previa del 20/12",""),"")</f>
        <v/>
      </c>
      <c r="Q53" s="22">
        <f t="shared" si="14"/>
        <v>46439</v>
      </c>
      <c r="R53">
        <f>IFERROR(MATCH(A53,criterio!$A$11:$A$22,0),0)</f>
        <v>5</v>
      </c>
      <c r="S53">
        <f>IF(R53=0,"",INDEX(criterio!$E$11:$E$22,R53))</f>
        <v>0</v>
      </c>
      <c r="T53">
        <f>IF(R53=0,"",INDEX(criterio!$C$11:$C$22,R53))</f>
        <v>60</v>
      </c>
      <c r="U53" t="str">
        <f>IF(R53=0,"",INDEX(criterio!$D$11:$D$22,R53))</f>
        <v>días</v>
      </c>
      <c r="V53">
        <f>IF(AND(ISNUMBER(B53),B53=Turno!$B$3,OR(AL53="Preparar",AL53="Completar")),MAX($V$8:V52)+1,0)</f>
        <v>0</v>
      </c>
      <c r="W53" t="s">
        <v>90</v>
      </c>
      <c r="Y53" t="str">
        <f>IF(R53=0,"",INDEX(criterio!$I$11:$I$22,R53))</f>
        <v>Seco, cerrado y sin humedad.
Abierto: 7 días, sin superar vencimiento.</v>
      </c>
      <c r="Z53">
        <f t="shared" si="15"/>
        <v>3</v>
      </c>
      <c r="AA53" t="str">
        <f>IF(OR(A53="",COUNT(B53:C53)&lt;&gt;2),"",IF(OR(WEEKDAY(B53,2)&gt;5,COUNTIF(criterio!$B$25:$E$25,B53)&gt;0),"Cambiar día de elaboración",IF(OR(WEEKDAY(C53,2)&gt;5,COUNTIF(criterio!$B$25:$E$25,C53)&gt;0),"Cambiar día de retiro",IF(SUMIF($B$9:$B$128,B53,$AD$9:$AD$128)&gt;criterio!$D$26,"Más de dos recetas",IF(OR(A53="",NOT(ISNUMBER(B53))),"",IF(OR(NOT(ISNUMBER($Q$2)),NOT(ISNUMBER($Q$3)),$Q$2&lt;=0,$Q$3&lt;=0),"Revisar topes de carga",IF(SUMIFS($Z$9:$Z$128,$B$9:$B$128,B53,$F$9:$F$128,"kg")/$Q$2+SUMIFS($Z$9:$Z$128,$B$9:$B$128,B53,$F$9:$F$128,"L")/$Q$3&gt;1.000001,"Repartir carga del día","")))))))</f>
        <v/>
      </c>
      <c r="AB53" t="str">
        <f>IF(COUNTA(A53:E53,H53:I53,K53:N53)=0,"",IF(R53=0,"Elegir producto",IF(COUNT(B53:E53)&lt;&gt;4,"Completar fechas",IF(E53&lt;D53,"Revisar días de uso",IF(C53+criterio!$B$3&gt;D53,"El retiro llega tarde",IF(AND(N53&lt;&gt;"",OR(NOT(ISNUMBER(N53)),N53&lt;0)),"Revisar cantidad hecha",IF(AND(M53&lt;&gt;"",OR(NOT(ISNUMBER(M53)),M53&lt;0)),"Revisar cant. a adelantar",IF(AND(AND(ISBLANK(H53),L53="Adelanto"),NOT(ISNUMBER(AM53))),"Cargar cant. a adelantar",IF(AND(AND(ISBLANK(H53),L53="Adelanto"),I53&lt;&gt;"",OR(NOT(ISNUMBER(I53)),I53&lt;&gt;0)),"Revisar stock del adelanto",IF(AND(ISNUMBER(N53),N53&gt;0,L53&lt;&gt;"Sí",L53&lt;&gt;"Adelanto",N(M53)&lt;=0),"Hecho sin liberar",IF(AND(ISBLANK(H53),L53&lt;&gt;"Adelanto",OR(I53&lt;&gt;"",L53="Sí")),"Falta pedido real",IF(AND(H53&lt;&gt;"",OR(NOT(ISNUMBER(H53)),H53&lt;0)),"Revisar pedido",IF(AND(ISNUMBER(H53),H53=0,N(M53)&gt;0,N(N53)&gt;0,N(I53)=0),"Reasignar sobrante",IF(AND(ISNUMBER(H53),H53=0,OR(N53&gt;0,I53&gt;0)),"Revisar pedido y cantidades",IF(AND(ISNUMBER(H53),H53=0),"Sin pedido",IF(AND(ISNUMBER(H53),ISBLANK(I53)),"Falta anotar stock",IF(AND(I53&lt;&gt;"",OR(NOT(ISNUMBER(I53)),I53&lt;0,AND(ISNUMBER(H53),I53&gt;H53))),"Revisar stock asignado",IF(AND(ISNUMBER(I53),I53&gt;0,NOT(ISNUMBER(K53))),"Falta vencimiento de stock",IF(AND(ISNUMBER(I53),I53&gt;0,K53&lt;E53+criterio!$B$4),"El stock no cubre el uso",IF(AND(ISNUMBER(H53),ISNUMBER(I53),H53=I53,OR(N53="",N53=0)),"Cubierto con stock",IF(B53=criterio!$B$25,"Jornada bloqueada",IF(B53+S53&gt;C53,"No llega al retiro",IF(Q53&lt;E53,"Vence antes del último uso",IF(Q53&lt;E53+criterio!$B$4,"Falta margen de vida útil",IF(AND(ISBLANK(H53),L53&lt;&gt;"Adelanto",N(N53)&gt;0,N(M53)&gt;0),"Adelanto en pausa",IF(NOT(ISNUMBER(AM53)),"Previsión",IF(AND(ISNUMBER(H53),N(M53)&gt;0,N(N53)&gt;ROUND(H53-N(I53),3)),"Reasignar sobrante",IF(AND(ISNUMBER(N53),N53&gt;ROUND(AM53-N(I53),3)),"Revisar excedente",IF(AND(ISNUMBER(H53),L53&lt;&gt;"Sí",NOT(AND(N(M53)&gt;0,J53=0))),"Por confirmar",IF(J53=0,"Hecho",IF(AND(ISNUMBER(N53),N53&gt;0),"Completar","Preparar")))))))))))))))))))))))))))))))</f>
        <v>Previsión</v>
      </c>
      <c r="AC53">
        <f t="shared" si="16"/>
        <v>0</v>
      </c>
      <c r="AD53">
        <f>IF(OR(NOT(ISNUMBER(B53)),A53="",NOT(ISNUMBER(Z53)),Z53&lt;=0),0,IF(COUNTIFS($A$9:A53,A53,$B$9:B53,B53,$Z$9:Z53,"&gt;0")=1,1,0))</f>
        <v>1</v>
      </c>
      <c r="AE53">
        <f t="shared" si="17"/>
        <v>0</v>
      </c>
      <c r="AF53">
        <f t="shared" si="18"/>
        <v>0</v>
      </c>
      <c r="AG53" t="str">
        <f>IF(OR(AF53=0,AK53&lt;=0),"",IF(A53="Tsue","Retiro: ","Tanda: ")&amp;ROUND(AE53,3)&amp;" "&amp;F53&amp;". Acordar "&amp;INT(AE53/AK53)&amp;" o "&amp;ROUNDUP(AE53/AK53,0)&amp;IF(A53="Tsue"," envases de 5 L."," porciones de 500 g."))</f>
        <v/>
      </c>
      <c r="AH53">
        <f>IF(COUNTA(A53:E53,H53:I53,K53:L53,N53)=0,0,IF(OR(NOT(ISNUMBER(B53)),B53&lt;'Por semana'!$C$45,B53&gt;'Por semana'!$J$46+6),1,0))</f>
        <v>0</v>
      </c>
      <c r="AI53">
        <f t="shared" si="20"/>
        <v>3</v>
      </c>
      <c r="AJ53">
        <f t="shared" si="21"/>
        <v>1</v>
      </c>
      <c r="AK53">
        <f>IF(R53=0,0,IFERROR(INDEX(criterio!$J$11:$J$22,R53)+0,0))</f>
        <v>0</v>
      </c>
      <c r="AL53" t="str">
        <f t="shared" si="22"/>
        <v>Previsión</v>
      </c>
      <c r="AM53" t="str">
        <f t="shared" si="23"/>
        <v/>
      </c>
    </row>
    <row r="54" spans="1:39" ht="31" customHeight="1">
      <c r="A54" s="5" t="s">
        <v>59</v>
      </c>
      <c r="B54" s="19">
        <v>46384</v>
      </c>
      <c r="C54" s="19">
        <v>46384</v>
      </c>
      <c r="D54" s="19">
        <v>46385</v>
      </c>
      <c r="E54" s="19">
        <v>46391</v>
      </c>
      <c r="F54" s="4" t="str">
        <f>IF(R54=0,"",INDEX(criterio!$B$11:$B$22,R54))</f>
        <v>kg</v>
      </c>
      <c r="G54" s="23">
        <f>IFERROR(IF(INDEX(criterio!$B$31:$B$111,MATCH(W54,criterio!$A$31:$A$111,0))=A54,INDEX(criterio!$C$31:$C$111,MATCH(W54,criterio!$A$31:$A$111,0)),""),"")</f>
        <v>3.0209999999999999</v>
      </c>
      <c r="H54" s="25"/>
      <c r="I54" s="25"/>
      <c r="J54" s="27" t="str">
        <f t="shared" si="12"/>
        <v/>
      </c>
      <c r="K54" s="20"/>
      <c r="L54" s="21"/>
      <c r="M54" s="25"/>
      <c r="N54" s="25"/>
      <c r="O54" s="6" t="str">
        <f t="shared" si="13"/>
        <v>Previsión</v>
      </c>
      <c r="P54" s="6" t="str">
        <f>IFERROR(IF(AND(INDEX(criterio!$I$31:$I$111,MATCH(W54,criterio!$A$31:$A$111,0))=1,INDEX(criterio!$B$31:$B$111,MATCH(W54,criterio!$A$31:$A$111,0))=A54,ISNUMBER(B54),B54&gt;=criterio!$B$5,D54&lt;=criterio!$B$6,E54&gt;=criterio!$B$5),"Fuera de la previa del 20/12",""),"")</f>
        <v/>
      </c>
      <c r="Q54" s="22">
        <f t="shared" si="14"/>
        <v>46394</v>
      </c>
      <c r="R54">
        <f>IFERROR(MATCH(A54,criterio!$A$11:$A$22,0),0)</f>
        <v>12</v>
      </c>
      <c r="S54">
        <f>IF(R54=0,"",INDEX(criterio!$E$11:$E$22,R54))</f>
        <v>0</v>
      </c>
      <c r="T54">
        <f>IF(R54=0,"",INDEX(criterio!$C$11:$C$22,R54))</f>
        <v>10</v>
      </c>
      <c r="U54" t="str">
        <f>IF(R54=0,"",INDEX(criterio!$D$11:$D$22,R54))</f>
        <v>días</v>
      </c>
      <c r="V54">
        <f>IF(AND(ISNUMBER(B54),B54=Turno!$B$3,OR(AL54="Preparar",AL54="Completar")),MAX($V$8:V53)+1,0)</f>
        <v>0</v>
      </c>
      <c r="W54" t="s">
        <v>91</v>
      </c>
      <c r="Y54" t="str">
        <f>IF(R54=0,"",INDEX(criterio!$I$11:$I$22,R54))</f>
        <v>Heladera 0–5 °C.</v>
      </c>
      <c r="Z54">
        <f t="shared" si="15"/>
        <v>3.0209999999999999</v>
      </c>
      <c r="AA54" t="str">
        <f>IF(OR(A54="",COUNT(B54:C54)&lt;&gt;2),"",IF(OR(WEEKDAY(B54,2)&gt;5,COUNTIF(criterio!$B$25:$E$25,B54)&gt;0),"Cambiar día de elaboración",IF(OR(WEEKDAY(C54,2)&gt;5,COUNTIF(criterio!$B$25:$E$25,C54)&gt;0),"Cambiar día de retiro",IF(SUMIF($B$9:$B$128,B54,$AD$9:$AD$128)&gt;criterio!$D$26,"Más de dos recetas",IF(OR(A54="",NOT(ISNUMBER(B54))),"",IF(OR(NOT(ISNUMBER($Q$2)),NOT(ISNUMBER($Q$3)),$Q$2&lt;=0,$Q$3&lt;=0),"Revisar topes de carga",IF(SUMIFS($Z$9:$Z$128,$B$9:$B$128,B54,$F$9:$F$128,"kg")/$Q$2+SUMIFS($Z$9:$Z$128,$B$9:$B$128,B54,$F$9:$F$128,"L")/$Q$3&gt;1.000001,"Repartir carga del día","")))))))</f>
        <v/>
      </c>
      <c r="AB54" t="str">
        <f>IF(COUNTA(A54:E54,H54:I54,K54:N54)=0,"",IF(R54=0,"Elegir producto",IF(COUNT(B54:E54)&lt;&gt;4,"Completar fechas",IF(E54&lt;D54,"Revisar días de uso",IF(C54+criterio!$B$3&gt;D54,"El retiro llega tarde",IF(AND(N54&lt;&gt;"",OR(NOT(ISNUMBER(N54)),N54&lt;0)),"Revisar cantidad hecha",IF(AND(M54&lt;&gt;"",OR(NOT(ISNUMBER(M54)),M54&lt;0)),"Revisar cant. a adelantar",IF(AND(AND(ISBLANK(H54),L54="Adelanto"),NOT(ISNUMBER(AM54))),"Cargar cant. a adelantar",IF(AND(AND(ISBLANK(H54),L54="Adelanto"),I54&lt;&gt;"",OR(NOT(ISNUMBER(I54)),I54&lt;&gt;0)),"Revisar stock del adelanto",IF(AND(ISNUMBER(N54),N54&gt;0,L54&lt;&gt;"Sí",L54&lt;&gt;"Adelanto",N(M54)&lt;=0),"Hecho sin liberar",IF(AND(ISBLANK(H54),L54&lt;&gt;"Adelanto",OR(I54&lt;&gt;"",L54="Sí")),"Falta pedido real",IF(AND(H54&lt;&gt;"",OR(NOT(ISNUMBER(H54)),H54&lt;0)),"Revisar pedido",IF(AND(ISNUMBER(H54),H54=0,N(M54)&gt;0,N(N54)&gt;0,N(I54)=0),"Reasignar sobrante",IF(AND(ISNUMBER(H54),H54=0,OR(N54&gt;0,I54&gt;0)),"Revisar pedido y cantidades",IF(AND(ISNUMBER(H54),H54=0),"Sin pedido",IF(AND(ISNUMBER(H54),ISBLANK(I54)),"Falta anotar stock",IF(AND(I54&lt;&gt;"",OR(NOT(ISNUMBER(I54)),I54&lt;0,AND(ISNUMBER(H54),I54&gt;H54))),"Revisar stock asignado",IF(AND(ISNUMBER(I54),I54&gt;0,NOT(ISNUMBER(K54))),"Falta vencimiento de stock",IF(AND(ISNUMBER(I54),I54&gt;0,K54&lt;E54+criterio!$B$4),"El stock no cubre el uso",IF(AND(ISNUMBER(H54),ISNUMBER(I54),H54=I54,OR(N54="",N54=0)),"Cubierto con stock",IF(B54=criterio!$B$25,"Jornada bloqueada",IF(B54+S54&gt;C54,"No llega al retiro",IF(Q54&lt;E54,"Vence antes del último uso",IF(Q54&lt;E54+criterio!$B$4,"Falta margen de vida útil",IF(AND(ISBLANK(H54),L54&lt;&gt;"Adelanto",N(N54)&gt;0,N(M54)&gt;0),"Adelanto en pausa",IF(NOT(ISNUMBER(AM54)),"Previsión",IF(AND(ISNUMBER(H54),N(M54)&gt;0,N(N54)&gt;ROUND(H54-N(I54),3)),"Reasignar sobrante",IF(AND(ISNUMBER(N54),N54&gt;ROUND(AM54-N(I54),3)),"Revisar excedente",IF(AND(ISNUMBER(H54),L54&lt;&gt;"Sí",NOT(AND(N(M54)&gt;0,J54=0))),"Por confirmar",IF(J54=0,"Hecho",IF(AND(ISNUMBER(N54),N54&gt;0),"Completar","Preparar")))))))))))))))))))))))))))))))</f>
        <v>Previsión</v>
      </c>
      <c r="AC54">
        <f t="shared" si="16"/>
        <v>0</v>
      </c>
      <c r="AD54">
        <f>IF(OR(NOT(ISNUMBER(B54)),A54="",NOT(ISNUMBER(Z54)),Z54&lt;=0),0,IF(COUNTIFS($A$9:A54,A54,$B$9:B54,B54,$Z$9:Z54,"&gt;0")=1,1,0))</f>
        <v>1</v>
      </c>
      <c r="AE54">
        <f t="shared" si="17"/>
        <v>3.0209999999999999</v>
      </c>
      <c r="AF54">
        <f t="shared" si="18"/>
        <v>1</v>
      </c>
      <c r="AG54" t="str">
        <f>IF(OR(AF54=0,AK54&lt;=0),"",IF(A54="Tsue","Retiro: ","Tanda: ")&amp;ROUND(AE54,3)&amp;" "&amp;F54&amp;". Acordar "&amp;INT(AE54/AK54)&amp;" o "&amp;ROUNDUP(AE54/AK54,0)&amp;IF(A54="Tsue"," envases de 5 L."," porciones de 500 g."))</f>
        <v>Tanda: 3.021 kg. Acordar 6 o 7 porciones de 500 g.</v>
      </c>
      <c r="AH54">
        <f>IF(COUNTA(A54:E54,H54:I54,K54:L54,N54)=0,0,IF(OR(NOT(ISNUMBER(B54)),B54&lt;'Por semana'!$C$45,B54&gt;'Por semana'!$J$46+6),1,0))</f>
        <v>0</v>
      </c>
      <c r="AI54">
        <f t="shared" si="20"/>
        <v>3.0209999999999999</v>
      </c>
      <c r="AJ54">
        <f t="shared" si="21"/>
        <v>1</v>
      </c>
      <c r="AK54">
        <f>IF(R54=0,0,IFERROR(INDEX(criterio!$J$11:$J$22,R54)+0,0))</f>
        <v>0.5</v>
      </c>
      <c r="AL54" t="str">
        <f t="shared" si="22"/>
        <v>Previsión</v>
      </c>
      <c r="AM54" t="str">
        <f t="shared" si="23"/>
        <v/>
      </c>
    </row>
    <row r="55" spans="1:39" ht="31" customHeight="1">
      <c r="A55" s="5" t="s">
        <v>59</v>
      </c>
      <c r="B55" s="19">
        <v>46391</v>
      </c>
      <c r="C55" s="19">
        <v>46391</v>
      </c>
      <c r="D55" s="19">
        <v>46392</v>
      </c>
      <c r="E55" s="19">
        <v>46398</v>
      </c>
      <c r="F55" s="4" t="str">
        <f>IF(R55=0,"",INDEX(criterio!$B$11:$B$22,R55))</f>
        <v>kg</v>
      </c>
      <c r="G55" s="23">
        <f>IFERROR(IF(INDEX(criterio!$B$31:$B$111,MATCH(W55,criterio!$A$31:$A$111,0))=A55,INDEX(criterio!$C$31:$C$111,MATCH(W55,criterio!$A$31:$A$111,0)),""),"")</f>
        <v>2.3330000000000002</v>
      </c>
      <c r="H55" s="25"/>
      <c r="I55" s="25"/>
      <c r="J55" s="27" t="str">
        <f t="shared" si="12"/>
        <v/>
      </c>
      <c r="K55" s="20"/>
      <c r="L55" s="21"/>
      <c r="M55" s="25"/>
      <c r="N55" s="25"/>
      <c r="O55" s="6" t="str">
        <f t="shared" si="13"/>
        <v>Previsión</v>
      </c>
      <c r="P55" s="6" t="str">
        <f>IFERROR(IF(AND(INDEX(criterio!$I$31:$I$111,MATCH(W55,criterio!$A$31:$A$111,0))=1,INDEX(criterio!$B$31:$B$111,MATCH(W55,criterio!$A$31:$A$111,0))=A55,ISNUMBER(B55),B55&gt;=criterio!$B$5,D55&lt;=criterio!$B$6,E55&gt;=criterio!$B$5),"Fuera de la previa del 20/12",""),"")</f>
        <v/>
      </c>
      <c r="Q55" s="22">
        <f t="shared" si="14"/>
        <v>46401</v>
      </c>
      <c r="R55">
        <f>IFERROR(MATCH(A55,criterio!$A$11:$A$22,0),0)</f>
        <v>12</v>
      </c>
      <c r="S55">
        <f>IF(R55=0,"",INDEX(criterio!$E$11:$E$22,R55))</f>
        <v>0</v>
      </c>
      <c r="T55">
        <f>IF(R55=0,"",INDEX(criterio!$C$11:$C$22,R55))</f>
        <v>10</v>
      </c>
      <c r="U55" t="str">
        <f>IF(R55=0,"",INDEX(criterio!$D$11:$D$22,R55))</f>
        <v>días</v>
      </c>
      <c r="V55">
        <f>IF(AND(ISNUMBER(B55),B55=Turno!$B$3,OR(AL55="Preparar",AL55="Completar")),MAX($V$8:V54)+1,0)</f>
        <v>0</v>
      </c>
      <c r="W55" t="s">
        <v>92</v>
      </c>
      <c r="Y55" t="str">
        <f>IF(R55=0,"",INDEX(criterio!$I$11:$I$22,R55))</f>
        <v>Heladera 0–5 °C.</v>
      </c>
      <c r="Z55">
        <f t="shared" si="15"/>
        <v>2.3330000000000002</v>
      </c>
      <c r="AA55" t="str">
        <f>IF(OR(A55="",COUNT(B55:C55)&lt;&gt;2),"",IF(OR(WEEKDAY(B55,2)&gt;5,COUNTIF(criterio!$B$25:$E$25,B55)&gt;0),"Cambiar día de elaboración",IF(OR(WEEKDAY(C55,2)&gt;5,COUNTIF(criterio!$B$25:$E$25,C55)&gt;0),"Cambiar día de retiro",IF(SUMIF($B$9:$B$128,B55,$AD$9:$AD$128)&gt;criterio!$D$26,"Más de dos recetas",IF(OR(A55="",NOT(ISNUMBER(B55))),"",IF(OR(NOT(ISNUMBER($Q$2)),NOT(ISNUMBER($Q$3)),$Q$2&lt;=0,$Q$3&lt;=0),"Revisar topes de carga",IF(SUMIFS($Z$9:$Z$128,$B$9:$B$128,B55,$F$9:$F$128,"kg")/$Q$2+SUMIFS($Z$9:$Z$128,$B$9:$B$128,B55,$F$9:$F$128,"L")/$Q$3&gt;1.000001,"Repartir carga del día","")))))))</f>
        <v/>
      </c>
      <c r="AB55" t="str">
        <f>IF(COUNTA(A55:E55,H55:I55,K55:N55)=0,"",IF(R55=0,"Elegir producto",IF(COUNT(B55:E55)&lt;&gt;4,"Completar fechas",IF(E55&lt;D55,"Revisar días de uso",IF(C55+criterio!$B$3&gt;D55,"El retiro llega tarde",IF(AND(N55&lt;&gt;"",OR(NOT(ISNUMBER(N55)),N55&lt;0)),"Revisar cantidad hecha",IF(AND(M55&lt;&gt;"",OR(NOT(ISNUMBER(M55)),M55&lt;0)),"Revisar cant. a adelantar",IF(AND(AND(ISBLANK(H55),L55="Adelanto"),NOT(ISNUMBER(AM55))),"Cargar cant. a adelantar",IF(AND(AND(ISBLANK(H55),L55="Adelanto"),I55&lt;&gt;"",OR(NOT(ISNUMBER(I55)),I55&lt;&gt;0)),"Revisar stock del adelanto",IF(AND(ISNUMBER(N55),N55&gt;0,L55&lt;&gt;"Sí",L55&lt;&gt;"Adelanto",N(M55)&lt;=0),"Hecho sin liberar",IF(AND(ISBLANK(H55),L55&lt;&gt;"Adelanto",OR(I55&lt;&gt;"",L55="Sí")),"Falta pedido real",IF(AND(H55&lt;&gt;"",OR(NOT(ISNUMBER(H55)),H55&lt;0)),"Revisar pedido",IF(AND(ISNUMBER(H55),H55=0,N(M55)&gt;0,N(N55)&gt;0,N(I55)=0),"Reasignar sobrante",IF(AND(ISNUMBER(H55),H55=0,OR(N55&gt;0,I55&gt;0)),"Revisar pedido y cantidades",IF(AND(ISNUMBER(H55),H55=0),"Sin pedido",IF(AND(ISNUMBER(H55),ISBLANK(I55)),"Falta anotar stock",IF(AND(I55&lt;&gt;"",OR(NOT(ISNUMBER(I55)),I55&lt;0,AND(ISNUMBER(H55),I55&gt;H55))),"Revisar stock asignado",IF(AND(ISNUMBER(I55),I55&gt;0,NOT(ISNUMBER(K55))),"Falta vencimiento de stock",IF(AND(ISNUMBER(I55),I55&gt;0,K55&lt;E55+criterio!$B$4),"El stock no cubre el uso",IF(AND(ISNUMBER(H55),ISNUMBER(I55),H55=I55,OR(N55="",N55=0)),"Cubierto con stock",IF(B55=criterio!$B$25,"Jornada bloqueada",IF(B55+S55&gt;C55,"No llega al retiro",IF(Q55&lt;E55,"Vence antes del último uso",IF(Q55&lt;E55+criterio!$B$4,"Falta margen de vida útil",IF(AND(ISBLANK(H55),L55&lt;&gt;"Adelanto",N(N55)&gt;0,N(M55)&gt;0),"Adelanto en pausa",IF(NOT(ISNUMBER(AM55)),"Previsión",IF(AND(ISNUMBER(H55),N(M55)&gt;0,N(N55)&gt;ROUND(H55-N(I55),3)),"Reasignar sobrante",IF(AND(ISNUMBER(N55),N55&gt;ROUND(AM55-N(I55),3)),"Revisar excedente",IF(AND(ISNUMBER(H55),L55&lt;&gt;"Sí",NOT(AND(N(M55)&gt;0,J55=0))),"Por confirmar",IF(J55=0,"Hecho",IF(AND(ISNUMBER(N55),N55&gt;0),"Completar","Preparar")))))))))))))))))))))))))))))))</f>
        <v>Previsión</v>
      </c>
      <c r="AC55">
        <f t="shared" si="16"/>
        <v>0</v>
      </c>
      <c r="AD55">
        <f>IF(OR(NOT(ISNUMBER(B55)),A55="",NOT(ISNUMBER(Z55)),Z55&lt;=0),0,IF(COUNTIFS($A$9:A55,A55,$B$9:B55,B55,$Z$9:Z55,"&gt;0")=1,1,0))</f>
        <v>1</v>
      </c>
      <c r="AE55">
        <f t="shared" si="17"/>
        <v>2.3330000000000002</v>
      </c>
      <c r="AF55">
        <f t="shared" si="18"/>
        <v>1</v>
      </c>
      <c r="AG55" t="str">
        <f>IF(OR(AF55=0,AK55&lt;=0),"",IF(A55="Tsue","Retiro: ","Tanda: ")&amp;ROUND(AE55,3)&amp;" "&amp;F55&amp;". Acordar "&amp;INT(AE55/AK55)&amp;" o "&amp;ROUNDUP(AE55/AK55,0)&amp;IF(A55="Tsue"," envases de 5 L."," porciones de 500 g."))</f>
        <v>Tanda: 2.333 kg. Acordar 4 o 5 porciones de 500 g.</v>
      </c>
      <c r="AH55">
        <f>IF(COUNTA(A55:E55,H55:I55,K55:L55,N55)=0,0,IF(OR(NOT(ISNUMBER(B55)),B55&lt;'Por semana'!$C$45,B55&gt;'Por semana'!$J$46+6),1,0))</f>
        <v>0</v>
      </c>
      <c r="AI55">
        <f t="shared" si="20"/>
        <v>2.3330000000000002</v>
      </c>
      <c r="AJ55">
        <f t="shared" si="21"/>
        <v>1</v>
      </c>
      <c r="AK55">
        <f>IF(R55=0,0,IFERROR(INDEX(criterio!$J$11:$J$22,R55)+0,0))</f>
        <v>0.5</v>
      </c>
      <c r="AL55" t="str">
        <f t="shared" si="22"/>
        <v>Previsión</v>
      </c>
      <c r="AM55" t="str">
        <f t="shared" si="23"/>
        <v/>
      </c>
    </row>
    <row r="56" spans="1:39" ht="31" customHeight="1">
      <c r="A56" s="5" t="s">
        <v>65</v>
      </c>
      <c r="B56" s="19">
        <v>46392</v>
      </c>
      <c r="C56" s="19">
        <v>46402</v>
      </c>
      <c r="D56" s="19">
        <v>46403</v>
      </c>
      <c r="E56" s="19">
        <v>46418</v>
      </c>
      <c r="F56" s="4" t="str">
        <f>IF(R56=0,"",INDEX(criterio!$B$11:$B$22,R56))</f>
        <v>kg</v>
      </c>
      <c r="G56" s="23">
        <f>IFERROR(IF(INDEX(criterio!$B$31:$B$111,MATCH(W56,criterio!$A$31:$A$111,0))=A56,INDEX(criterio!$C$31:$C$111,MATCH(W56,criterio!$A$31:$A$111,0)),""),"")</f>
        <v>15</v>
      </c>
      <c r="H56" s="25"/>
      <c r="I56" s="25"/>
      <c r="J56" s="27" t="str">
        <f t="shared" si="12"/>
        <v/>
      </c>
      <c r="K56" s="20"/>
      <c r="L56" s="21"/>
      <c r="M56" s="25"/>
      <c r="N56" s="25"/>
      <c r="O56" s="6" t="str">
        <f t="shared" si="13"/>
        <v>Previsión</v>
      </c>
      <c r="P56" s="6" t="str">
        <f>IFERROR(IF(AND(INDEX(criterio!$I$31:$I$111,MATCH(W56,criterio!$A$31:$A$111,0))=1,INDEX(criterio!$B$31:$B$111,MATCH(W56,criterio!$A$31:$A$111,0))=A56,ISNUMBER(B56),B56&gt;=criterio!$B$5,D56&lt;=criterio!$B$6,E56&gt;=criterio!$B$5),"Fuera de la previa del 20/12",""),"")</f>
        <v/>
      </c>
      <c r="Q56" s="22">
        <f t="shared" si="14"/>
        <v>46422</v>
      </c>
      <c r="R56">
        <f>IFERROR(MATCH(A56,criterio!$A$11:$A$22,0),0)</f>
        <v>7</v>
      </c>
      <c r="S56">
        <f>IF(R56=0,"",INDEX(criterio!$E$11:$E$22,R56))</f>
        <v>1</v>
      </c>
      <c r="T56">
        <f>IF(R56=0,"",INDEX(criterio!$C$11:$C$22,R56))</f>
        <v>30</v>
      </c>
      <c r="U56" t="str">
        <f>IF(R56=0,"",INDEX(criterio!$D$11:$D$22,R56))</f>
        <v>días</v>
      </c>
      <c r="V56">
        <f>IF(AND(ISNUMBER(B56),B56=Turno!$B$3,OR(AL56="Preparar",AL56="Completar")),MAX($V$8:V55)+1,0)</f>
        <v>0</v>
      </c>
      <c r="W56" t="s">
        <v>93</v>
      </c>
      <c r="Y56" t="str">
        <f>IF(R56=0,"",INDEX(criterio!$I$11:$I$22,R56))</f>
        <v>Heladera 0–5 °C. Marinar 24 h.
Abierto: 7 días, sin superar vencimiento.</v>
      </c>
      <c r="Z56">
        <f t="shared" si="15"/>
        <v>15</v>
      </c>
      <c r="AA56" t="str">
        <f>IF(OR(A56="",COUNT(B56:C56)&lt;&gt;2),"",IF(OR(WEEKDAY(B56,2)&gt;5,COUNTIF(criterio!$B$25:$E$25,B56)&gt;0),"Cambiar día de elaboración",IF(OR(WEEKDAY(C56,2)&gt;5,COUNTIF(criterio!$B$25:$E$25,C56)&gt;0),"Cambiar día de retiro",IF(SUMIF($B$9:$B$128,B56,$AD$9:$AD$128)&gt;criterio!$D$26,"Más de dos recetas",IF(OR(A56="",NOT(ISNUMBER(B56))),"",IF(OR(NOT(ISNUMBER($Q$2)),NOT(ISNUMBER($Q$3)),$Q$2&lt;=0,$Q$3&lt;=0),"Revisar topes de carga",IF(SUMIFS($Z$9:$Z$128,$B$9:$B$128,B56,$F$9:$F$128,"kg")/$Q$2+SUMIFS($Z$9:$Z$128,$B$9:$B$128,B56,$F$9:$F$128,"L")/$Q$3&gt;1.000001,"Repartir carga del día","")))))))</f>
        <v/>
      </c>
      <c r="AB56" t="str">
        <f>IF(COUNTA(A56:E56,H56:I56,K56:N56)=0,"",IF(R56=0,"Elegir producto",IF(COUNT(B56:E56)&lt;&gt;4,"Completar fechas",IF(E56&lt;D56,"Revisar días de uso",IF(C56+criterio!$B$3&gt;D56,"El retiro llega tarde",IF(AND(N56&lt;&gt;"",OR(NOT(ISNUMBER(N56)),N56&lt;0)),"Revisar cantidad hecha",IF(AND(M56&lt;&gt;"",OR(NOT(ISNUMBER(M56)),M56&lt;0)),"Revisar cant. a adelantar",IF(AND(AND(ISBLANK(H56),L56="Adelanto"),NOT(ISNUMBER(AM56))),"Cargar cant. a adelantar",IF(AND(AND(ISBLANK(H56),L56="Adelanto"),I56&lt;&gt;"",OR(NOT(ISNUMBER(I56)),I56&lt;&gt;0)),"Revisar stock del adelanto",IF(AND(ISNUMBER(N56),N56&gt;0,L56&lt;&gt;"Sí",L56&lt;&gt;"Adelanto",N(M56)&lt;=0),"Hecho sin liberar",IF(AND(ISBLANK(H56),L56&lt;&gt;"Adelanto",OR(I56&lt;&gt;"",L56="Sí")),"Falta pedido real",IF(AND(H56&lt;&gt;"",OR(NOT(ISNUMBER(H56)),H56&lt;0)),"Revisar pedido",IF(AND(ISNUMBER(H56),H56=0,N(M56)&gt;0,N(N56)&gt;0,N(I56)=0),"Reasignar sobrante",IF(AND(ISNUMBER(H56),H56=0,OR(N56&gt;0,I56&gt;0)),"Revisar pedido y cantidades",IF(AND(ISNUMBER(H56),H56=0),"Sin pedido",IF(AND(ISNUMBER(H56),ISBLANK(I56)),"Falta anotar stock",IF(AND(I56&lt;&gt;"",OR(NOT(ISNUMBER(I56)),I56&lt;0,AND(ISNUMBER(H56),I56&gt;H56))),"Revisar stock asignado",IF(AND(ISNUMBER(I56),I56&gt;0,NOT(ISNUMBER(K56))),"Falta vencimiento de stock",IF(AND(ISNUMBER(I56),I56&gt;0,K56&lt;E56+criterio!$B$4),"El stock no cubre el uso",IF(AND(ISNUMBER(H56),ISNUMBER(I56),H56=I56,OR(N56="",N56=0)),"Cubierto con stock",IF(B56=criterio!$B$25,"Jornada bloqueada",IF(B56+S56&gt;C56,"No llega al retiro",IF(Q56&lt;E56,"Vence antes del último uso",IF(Q56&lt;E56+criterio!$B$4,"Falta margen de vida útil",IF(AND(ISBLANK(H56),L56&lt;&gt;"Adelanto",N(N56)&gt;0,N(M56)&gt;0),"Adelanto en pausa",IF(NOT(ISNUMBER(AM56)),"Previsión",IF(AND(ISNUMBER(H56),N(M56)&gt;0,N(N56)&gt;ROUND(H56-N(I56),3)),"Reasignar sobrante",IF(AND(ISNUMBER(N56),N56&gt;ROUND(AM56-N(I56),3)),"Revisar excedente",IF(AND(ISNUMBER(H56),L56&lt;&gt;"Sí",NOT(AND(N(M56)&gt;0,J56=0))),"Por confirmar",IF(J56=0,"Hecho",IF(AND(ISNUMBER(N56),N56&gt;0),"Completar","Preparar")))))))))))))))))))))))))))))))</f>
        <v>Previsión</v>
      </c>
      <c r="AC56">
        <f t="shared" si="16"/>
        <v>0</v>
      </c>
      <c r="AD56">
        <f>IF(OR(NOT(ISNUMBER(B56)),A56="",NOT(ISNUMBER(Z56)),Z56&lt;=0),0,IF(COUNTIFS($A$9:A56,A56,$B$9:B56,B56,$Z$9:Z56,"&gt;0")=1,1,0))</f>
        <v>1</v>
      </c>
      <c r="AE56">
        <f t="shared" si="17"/>
        <v>0</v>
      </c>
      <c r="AF56">
        <f t="shared" si="18"/>
        <v>0</v>
      </c>
      <c r="AG56" t="str">
        <f>IF(OR(AF56=0,AK56&lt;=0),"",IF(A56="Tsue","Retiro: ","Tanda: ")&amp;ROUND(AE56,3)&amp;" "&amp;F56&amp;". Acordar "&amp;INT(AE56/AK56)&amp;" o "&amp;ROUNDUP(AE56/AK56,0)&amp;IF(A56="Tsue"," envases de 5 L."," porciones de 500 g."))</f>
        <v/>
      </c>
      <c r="AH56">
        <f>IF(COUNTA(A56:E56,H56:I56,K56:L56,N56)=0,0,IF(OR(NOT(ISNUMBER(B56)),B56&lt;'Por semana'!$C$45,B56&gt;'Por semana'!$J$46+6),1,0))</f>
        <v>0</v>
      </c>
      <c r="AI56">
        <f t="shared" si="20"/>
        <v>15</v>
      </c>
      <c r="AJ56">
        <f t="shared" si="21"/>
        <v>1</v>
      </c>
      <c r="AK56">
        <f>IF(R56=0,0,IFERROR(INDEX(criterio!$J$11:$J$22,R56)+0,0))</f>
        <v>0</v>
      </c>
      <c r="AL56" t="str">
        <f t="shared" si="22"/>
        <v>Previsión</v>
      </c>
      <c r="AM56" t="str">
        <f t="shared" si="23"/>
        <v/>
      </c>
    </row>
    <row r="57" spans="1:39" ht="31" customHeight="1">
      <c r="A57" s="5" t="s">
        <v>53</v>
      </c>
      <c r="B57" s="19">
        <v>46393</v>
      </c>
      <c r="C57" s="19">
        <v>46402</v>
      </c>
      <c r="D57" s="19">
        <v>46403</v>
      </c>
      <c r="E57" s="19">
        <v>46418</v>
      </c>
      <c r="F57" s="4" t="str">
        <f>IF(R57=0,"",INDEX(criterio!$B$11:$B$22,R57))</f>
        <v>kg</v>
      </c>
      <c r="G57" s="23">
        <f>IFERROR(IF(INDEX(criterio!$B$31:$B$111,MATCH(W57,criterio!$A$31:$A$111,0))=A57,INDEX(criterio!$C$31:$C$111,MATCH(W57,criterio!$A$31:$A$111,0)),""),"")</f>
        <v>17</v>
      </c>
      <c r="H57" s="25"/>
      <c r="I57" s="25"/>
      <c r="J57" s="27" t="str">
        <f t="shared" si="12"/>
        <v/>
      </c>
      <c r="K57" s="20"/>
      <c r="L57" s="21"/>
      <c r="M57" s="25"/>
      <c r="N57" s="25"/>
      <c r="O57" s="6" t="str">
        <f t="shared" si="13"/>
        <v>Previsión</v>
      </c>
      <c r="P57" s="6" t="str">
        <f>IFERROR(IF(AND(INDEX(criterio!$I$31:$I$111,MATCH(W57,criterio!$A$31:$A$111,0))=1,INDEX(criterio!$B$31:$B$111,MATCH(W57,criterio!$A$31:$A$111,0))=A57,ISNUMBER(B57),B57&gt;=criterio!$B$5,D57&lt;=criterio!$B$6,E57&gt;=criterio!$B$5),"Fuera de la previa del 20/12",""),"")</f>
        <v/>
      </c>
      <c r="Q57" s="22">
        <f t="shared" si="14"/>
        <v>46423</v>
      </c>
      <c r="R57">
        <f>IFERROR(MATCH(A57,criterio!$A$11:$A$22,0),0)</f>
        <v>6</v>
      </c>
      <c r="S57">
        <f>IF(R57=0,"",INDEX(criterio!$E$11:$E$22,R57))</f>
        <v>0</v>
      </c>
      <c r="T57">
        <f>IF(R57=0,"",INDEX(criterio!$C$11:$C$22,R57))</f>
        <v>30</v>
      </c>
      <c r="U57" t="str">
        <f>IF(R57=0,"",INDEX(criterio!$D$11:$D$22,R57))</f>
        <v>días</v>
      </c>
      <c r="V57">
        <f>IF(AND(ISNUMBER(B57),B57=Turno!$B$3,OR(AL57="Preparar",AL57="Completar")),MAX($V$8:V56)+1,0)</f>
        <v>0</v>
      </c>
      <c r="W57" t="s">
        <v>94</v>
      </c>
      <c r="Y57" t="str">
        <f>IF(R57=0,"",INDEX(criterio!$I$11:$I$22,R57))</f>
        <v>Heladera 0–5 °C.
Abierto en topinera: 7 días, sin superar vencimiento.</v>
      </c>
      <c r="Z57">
        <f t="shared" si="15"/>
        <v>17</v>
      </c>
      <c r="AA57" t="str">
        <f>IF(OR(A57="",COUNT(B57:C57)&lt;&gt;2),"",IF(OR(WEEKDAY(B57,2)&gt;5,COUNTIF(criterio!$B$25:$E$25,B57)&gt;0),"Cambiar día de elaboración",IF(OR(WEEKDAY(C57,2)&gt;5,COUNTIF(criterio!$B$25:$E$25,C57)&gt;0),"Cambiar día de retiro",IF(SUMIF($B$9:$B$128,B57,$AD$9:$AD$128)&gt;criterio!$D$26,"Más de dos recetas",IF(OR(A57="",NOT(ISNUMBER(B57))),"",IF(OR(NOT(ISNUMBER($Q$2)),NOT(ISNUMBER($Q$3)),$Q$2&lt;=0,$Q$3&lt;=0),"Revisar topes de carga",IF(SUMIFS($Z$9:$Z$128,$B$9:$B$128,B57,$F$9:$F$128,"kg")/$Q$2+SUMIFS($Z$9:$Z$128,$B$9:$B$128,B57,$F$9:$F$128,"L")/$Q$3&gt;1.000001,"Repartir carga del día","")))))))</f>
        <v/>
      </c>
      <c r="AB57" t="str">
        <f>IF(COUNTA(A57:E57,H57:I57,K57:N57)=0,"",IF(R57=0,"Elegir producto",IF(COUNT(B57:E57)&lt;&gt;4,"Completar fechas",IF(E57&lt;D57,"Revisar días de uso",IF(C57+criterio!$B$3&gt;D57,"El retiro llega tarde",IF(AND(N57&lt;&gt;"",OR(NOT(ISNUMBER(N57)),N57&lt;0)),"Revisar cantidad hecha",IF(AND(M57&lt;&gt;"",OR(NOT(ISNUMBER(M57)),M57&lt;0)),"Revisar cant. a adelantar",IF(AND(AND(ISBLANK(H57),L57="Adelanto"),NOT(ISNUMBER(AM57))),"Cargar cant. a adelantar",IF(AND(AND(ISBLANK(H57),L57="Adelanto"),I57&lt;&gt;"",OR(NOT(ISNUMBER(I57)),I57&lt;&gt;0)),"Revisar stock del adelanto",IF(AND(ISNUMBER(N57),N57&gt;0,L57&lt;&gt;"Sí",L57&lt;&gt;"Adelanto",N(M57)&lt;=0),"Hecho sin liberar",IF(AND(ISBLANK(H57),L57&lt;&gt;"Adelanto",OR(I57&lt;&gt;"",L57="Sí")),"Falta pedido real",IF(AND(H57&lt;&gt;"",OR(NOT(ISNUMBER(H57)),H57&lt;0)),"Revisar pedido",IF(AND(ISNUMBER(H57),H57=0,N(M57)&gt;0,N(N57)&gt;0,N(I57)=0),"Reasignar sobrante",IF(AND(ISNUMBER(H57),H57=0,OR(N57&gt;0,I57&gt;0)),"Revisar pedido y cantidades",IF(AND(ISNUMBER(H57),H57=0),"Sin pedido",IF(AND(ISNUMBER(H57),ISBLANK(I57)),"Falta anotar stock",IF(AND(I57&lt;&gt;"",OR(NOT(ISNUMBER(I57)),I57&lt;0,AND(ISNUMBER(H57),I57&gt;H57))),"Revisar stock asignado",IF(AND(ISNUMBER(I57),I57&gt;0,NOT(ISNUMBER(K57))),"Falta vencimiento de stock",IF(AND(ISNUMBER(I57),I57&gt;0,K57&lt;E57+criterio!$B$4),"El stock no cubre el uso",IF(AND(ISNUMBER(H57),ISNUMBER(I57),H57=I57,OR(N57="",N57=0)),"Cubierto con stock",IF(B57=criterio!$B$25,"Jornada bloqueada",IF(B57+S57&gt;C57,"No llega al retiro",IF(Q57&lt;E57,"Vence antes del último uso",IF(Q57&lt;E57+criterio!$B$4,"Falta margen de vida útil",IF(AND(ISBLANK(H57),L57&lt;&gt;"Adelanto",N(N57)&gt;0,N(M57)&gt;0),"Adelanto en pausa",IF(NOT(ISNUMBER(AM57)),"Previsión",IF(AND(ISNUMBER(H57),N(M57)&gt;0,N(N57)&gt;ROUND(H57-N(I57),3)),"Reasignar sobrante",IF(AND(ISNUMBER(N57),N57&gt;ROUND(AM57-N(I57),3)),"Revisar excedente",IF(AND(ISNUMBER(H57),L57&lt;&gt;"Sí",NOT(AND(N(M57)&gt;0,J57=0))),"Por confirmar",IF(J57=0,"Hecho",IF(AND(ISNUMBER(N57),N57&gt;0),"Completar","Preparar")))))))))))))))))))))))))))))))</f>
        <v>Previsión</v>
      </c>
      <c r="AC57">
        <f t="shared" si="16"/>
        <v>0</v>
      </c>
      <c r="AD57">
        <f>IF(OR(NOT(ISNUMBER(B57)),A57="",NOT(ISNUMBER(Z57)),Z57&lt;=0),0,IF(COUNTIFS($A$9:A57,A57,$B$9:B57,B57,$Z$9:Z57,"&gt;0")=1,1,0))</f>
        <v>1</v>
      </c>
      <c r="AE57">
        <f t="shared" si="17"/>
        <v>0</v>
      </c>
      <c r="AF57">
        <f t="shared" si="18"/>
        <v>0</v>
      </c>
      <c r="AG57" t="str">
        <f>IF(OR(AF57=0,AK57&lt;=0),"",IF(A57="Tsue","Retiro: ","Tanda: ")&amp;ROUND(AE57,3)&amp;" "&amp;F57&amp;". Acordar "&amp;INT(AE57/AK57)&amp;" o "&amp;ROUNDUP(AE57/AK57,0)&amp;IF(A57="Tsue"," envases de 5 L."," porciones de 500 g."))</f>
        <v/>
      </c>
      <c r="AH57">
        <f>IF(COUNTA(A57:E57,H57:I57,K57:L57,N57)=0,0,IF(OR(NOT(ISNUMBER(B57)),B57&lt;'Por semana'!$C$45,B57&gt;'Por semana'!$J$46+6),1,0))</f>
        <v>0</v>
      </c>
      <c r="AI57">
        <f t="shared" si="20"/>
        <v>17</v>
      </c>
      <c r="AJ57">
        <f t="shared" si="21"/>
        <v>1</v>
      </c>
      <c r="AK57">
        <f>IF(R57=0,0,IFERROR(INDEX(criterio!$J$11:$J$22,R57)+0,0))</f>
        <v>0</v>
      </c>
      <c r="AL57" t="str">
        <f t="shared" si="22"/>
        <v>Previsión</v>
      </c>
      <c r="AM57" t="str">
        <f t="shared" si="23"/>
        <v/>
      </c>
    </row>
    <row r="58" spans="1:39" ht="31" customHeight="1">
      <c r="A58" s="5" t="s">
        <v>70</v>
      </c>
      <c r="B58" s="19">
        <v>46394</v>
      </c>
      <c r="C58" s="19">
        <v>46402</v>
      </c>
      <c r="D58" s="19">
        <v>46403</v>
      </c>
      <c r="E58" s="19">
        <v>46418</v>
      </c>
      <c r="F58" s="4" t="str">
        <f>IF(R58=0,"",INDEX(criterio!$B$11:$B$22,R58))</f>
        <v>L</v>
      </c>
      <c r="G58" s="24">
        <f>IFERROR(IF(INDEX(criterio!$B$31:$B$111,MATCH(W58,criterio!$A$31:$A$111,0))=A58,INDEX(criterio!$C$31:$C$111,MATCH(W58,criterio!$A$31:$A$111,0)),""),"")</f>
        <v>3</v>
      </c>
      <c r="H58" s="26"/>
      <c r="I58" s="26"/>
      <c r="J58" s="28" t="str">
        <f t="shared" si="12"/>
        <v/>
      </c>
      <c r="K58" s="20"/>
      <c r="L58" s="21"/>
      <c r="M58" s="26"/>
      <c r="N58" s="26"/>
      <c r="O58" s="6" t="str">
        <f t="shared" si="13"/>
        <v>Previsión</v>
      </c>
      <c r="P58" s="6" t="str">
        <f>IFERROR(IF(AND(INDEX(criterio!$I$31:$I$111,MATCH(W58,criterio!$A$31:$A$111,0))=1,INDEX(criterio!$B$31:$B$111,MATCH(W58,criterio!$A$31:$A$111,0))=A58,ISNUMBER(B58),B58&gt;=criterio!$B$5,D58&lt;=criterio!$B$6,E58&gt;=criterio!$B$5),"Fuera de la previa del 20/12",""),"")</f>
        <v/>
      </c>
      <c r="Q58" s="22">
        <f t="shared" si="14"/>
        <v>46424</v>
      </c>
      <c r="R58">
        <f>IFERROR(MATCH(A58,criterio!$A$11:$A$22,0),0)</f>
        <v>11</v>
      </c>
      <c r="S58">
        <f>IF(R58=0,"",INDEX(criterio!$E$11:$E$22,R58))</f>
        <v>0</v>
      </c>
      <c r="T58">
        <f>IF(R58=0,"",INDEX(criterio!$C$11:$C$22,R58))</f>
        <v>30</v>
      </c>
      <c r="U58" t="str">
        <f>IF(R58=0,"",INDEX(criterio!$D$11:$D$22,R58))</f>
        <v>días</v>
      </c>
      <c r="V58">
        <f>IF(AND(ISNUMBER(B58),B58=Turno!$B$3,OR(AL58="Preparar",AL58="Completar")),MAX($V$8:V57)+1,0)</f>
        <v>0</v>
      </c>
      <c r="W58" t="s">
        <v>95</v>
      </c>
      <c r="Y58" t="str">
        <f>IF(R58=0,"",INDEX(criterio!$I$11:$I$22,R58))</f>
        <v>Heladera 0–5 °C. Solo base.
El cítrico se agrega en barra.</v>
      </c>
      <c r="Z58">
        <f t="shared" si="15"/>
        <v>3</v>
      </c>
      <c r="AA58" t="str">
        <f>IF(OR(A58="",COUNT(B58:C58)&lt;&gt;2),"",IF(OR(WEEKDAY(B58,2)&gt;5,COUNTIF(criterio!$B$25:$E$25,B58)&gt;0),"Cambiar día de elaboración",IF(OR(WEEKDAY(C58,2)&gt;5,COUNTIF(criterio!$B$25:$E$25,C58)&gt;0),"Cambiar día de retiro",IF(SUMIF($B$9:$B$128,B58,$AD$9:$AD$128)&gt;criterio!$D$26,"Más de dos recetas",IF(OR(A58="",NOT(ISNUMBER(B58))),"",IF(OR(NOT(ISNUMBER($Q$2)),NOT(ISNUMBER($Q$3)),$Q$2&lt;=0,$Q$3&lt;=0),"Revisar topes de carga",IF(SUMIFS($Z$9:$Z$128,$B$9:$B$128,B58,$F$9:$F$128,"kg")/$Q$2+SUMIFS($Z$9:$Z$128,$B$9:$B$128,B58,$F$9:$F$128,"L")/$Q$3&gt;1.000001,"Repartir carga del día","")))))))</f>
        <v/>
      </c>
      <c r="AB58" t="str">
        <f>IF(COUNTA(A58:E58,H58:I58,K58:N58)=0,"",IF(R58=0,"Elegir producto",IF(COUNT(B58:E58)&lt;&gt;4,"Completar fechas",IF(E58&lt;D58,"Revisar días de uso",IF(C58+criterio!$B$3&gt;D58,"El retiro llega tarde",IF(AND(N58&lt;&gt;"",OR(NOT(ISNUMBER(N58)),N58&lt;0)),"Revisar cantidad hecha",IF(AND(M58&lt;&gt;"",OR(NOT(ISNUMBER(M58)),M58&lt;0)),"Revisar cant. a adelantar",IF(AND(AND(ISBLANK(H58),L58="Adelanto"),NOT(ISNUMBER(AM58))),"Cargar cant. a adelantar",IF(AND(AND(ISBLANK(H58),L58="Adelanto"),I58&lt;&gt;"",OR(NOT(ISNUMBER(I58)),I58&lt;&gt;0)),"Revisar stock del adelanto",IF(AND(ISNUMBER(N58),N58&gt;0,L58&lt;&gt;"Sí",L58&lt;&gt;"Adelanto",N(M58)&lt;=0),"Hecho sin liberar",IF(AND(ISBLANK(H58),L58&lt;&gt;"Adelanto",OR(I58&lt;&gt;"",L58="Sí")),"Falta pedido real",IF(AND(H58&lt;&gt;"",OR(NOT(ISNUMBER(H58)),H58&lt;0)),"Revisar pedido",IF(AND(ISNUMBER(H58),H58=0,N(M58)&gt;0,N(N58)&gt;0,N(I58)=0),"Reasignar sobrante",IF(AND(ISNUMBER(H58),H58=0,OR(N58&gt;0,I58&gt;0)),"Revisar pedido y cantidades",IF(AND(ISNUMBER(H58),H58=0),"Sin pedido",IF(AND(ISNUMBER(H58),ISBLANK(I58)),"Falta anotar stock",IF(AND(I58&lt;&gt;"",OR(NOT(ISNUMBER(I58)),I58&lt;0,AND(ISNUMBER(H58),I58&gt;H58))),"Revisar stock asignado",IF(AND(ISNUMBER(I58),I58&gt;0,NOT(ISNUMBER(K58))),"Falta vencimiento de stock",IF(AND(ISNUMBER(I58),I58&gt;0,K58&lt;E58+criterio!$B$4),"El stock no cubre el uso",IF(AND(ISNUMBER(H58),ISNUMBER(I58),H58=I58,OR(N58="",N58=0)),"Cubierto con stock",IF(B58=criterio!$B$25,"Jornada bloqueada",IF(B58+S58&gt;C58,"No llega al retiro",IF(Q58&lt;E58,"Vence antes del último uso",IF(Q58&lt;E58+criterio!$B$4,"Falta margen de vida útil",IF(AND(ISBLANK(H58),L58&lt;&gt;"Adelanto",N(N58)&gt;0,N(M58)&gt;0),"Adelanto en pausa",IF(NOT(ISNUMBER(AM58)),"Previsión",IF(AND(ISNUMBER(H58),N(M58)&gt;0,N(N58)&gt;ROUND(H58-N(I58),3)),"Reasignar sobrante",IF(AND(ISNUMBER(N58),N58&gt;ROUND(AM58-N(I58),3)),"Revisar excedente",IF(AND(ISNUMBER(H58),L58&lt;&gt;"Sí",NOT(AND(N(M58)&gt;0,J58=0))),"Por confirmar",IF(J58=0,"Hecho",IF(AND(ISNUMBER(N58),N58&gt;0),"Completar","Preparar")))))))))))))))))))))))))))))))</f>
        <v>Previsión</v>
      </c>
      <c r="AC58">
        <f t="shared" si="16"/>
        <v>0</v>
      </c>
      <c r="AD58">
        <f>IF(OR(NOT(ISNUMBER(B58)),A58="",NOT(ISNUMBER(Z58)),Z58&lt;=0),0,IF(COUNTIFS($A$9:A58,A58,$B$9:B58,B58,$Z$9:Z58,"&gt;0")=1,1,0))</f>
        <v>1</v>
      </c>
      <c r="AE58">
        <f t="shared" si="17"/>
        <v>0</v>
      </c>
      <c r="AF58">
        <f t="shared" si="18"/>
        <v>0</v>
      </c>
      <c r="AG58" t="str">
        <f>IF(OR(AF58=0,AK58&lt;=0),"",IF(A58="Tsue","Retiro: ","Tanda: ")&amp;ROUND(AE58,3)&amp;" "&amp;F58&amp;". Acordar "&amp;INT(AE58/AK58)&amp;" o "&amp;ROUNDUP(AE58/AK58,0)&amp;IF(A58="Tsue"," envases de 5 L."," porciones de 500 g."))</f>
        <v/>
      </c>
      <c r="AH58">
        <f>IF(COUNTA(A58:E58,H58:I58,K58:L58,N58)=0,0,IF(OR(NOT(ISNUMBER(B58)),B58&lt;'Por semana'!$C$45,B58&gt;'Por semana'!$J$46+6),1,0))</f>
        <v>0</v>
      </c>
      <c r="AI58">
        <f t="shared" si="20"/>
        <v>3</v>
      </c>
      <c r="AJ58">
        <f t="shared" si="21"/>
        <v>1</v>
      </c>
      <c r="AK58">
        <f>IF(R58=0,0,IFERROR(INDEX(criterio!$J$11:$J$22,R58)+0,0))</f>
        <v>0</v>
      </c>
      <c r="AL58" t="str">
        <f t="shared" si="22"/>
        <v>Previsión</v>
      </c>
      <c r="AM58" t="str">
        <f t="shared" si="23"/>
        <v/>
      </c>
    </row>
    <row r="59" spans="1:39" ht="31" customHeight="1">
      <c r="A59" s="5" t="s">
        <v>40</v>
      </c>
      <c r="B59" s="19">
        <v>46394</v>
      </c>
      <c r="C59" s="19">
        <v>46402</v>
      </c>
      <c r="D59" s="19">
        <v>46403</v>
      </c>
      <c r="E59" s="19">
        <v>46418</v>
      </c>
      <c r="F59" s="4" t="str">
        <f>IF(R59=0,"",INDEX(criterio!$B$11:$B$22,R59))</f>
        <v>L</v>
      </c>
      <c r="G59" s="24">
        <f>IFERROR(IF(INDEX(criterio!$B$31:$B$111,MATCH(W59,criterio!$A$31:$A$111,0))=A59,INDEX(criterio!$C$31:$C$111,MATCH(W59,criterio!$A$31:$A$111,0)),""),"")</f>
        <v>25</v>
      </c>
      <c r="H59" s="26"/>
      <c r="I59" s="26"/>
      <c r="J59" s="28" t="str">
        <f t="shared" si="12"/>
        <v/>
      </c>
      <c r="K59" s="20"/>
      <c r="L59" s="21"/>
      <c r="M59" s="26"/>
      <c r="N59" s="26"/>
      <c r="O59" s="6" t="str">
        <f t="shared" si="13"/>
        <v>Previsión</v>
      </c>
      <c r="P59" s="6" t="str">
        <f>IFERROR(IF(AND(INDEX(criterio!$I$31:$I$111,MATCH(W59,criterio!$A$31:$A$111,0))=1,INDEX(criterio!$B$31:$B$111,MATCH(W59,criterio!$A$31:$A$111,0))=A59,ISNUMBER(B59),B59&gt;=criterio!$B$5,D59&lt;=criterio!$B$6,E59&gt;=criterio!$B$5),"Fuera de la previa del 20/12",""),"")</f>
        <v/>
      </c>
      <c r="Q59" s="22">
        <f t="shared" si="14"/>
        <v>46425</v>
      </c>
      <c r="R59">
        <f>IFERROR(MATCH(A59,criterio!$A$11:$A$22,0),0)</f>
        <v>8</v>
      </c>
      <c r="S59">
        <f>IF(R59=0,"",INDEX(criterio!$E$11:$E$22,R59))</f>
        <v>0</v>
      </c>
      <c r="T59">
        <f>IF(R59=0,"",INDEX(criterio!$C$11:$C$22,R59))</f>
        <v>1</v>
      </c>
      <c r="U59" t="str">
        <f>IF(R59=0,"",INDEX(criterio!$D$11:$D$22,R59))</f>
        <v>mes</v>
      </c>
      <c r="V59">
        <f>IF(AND(ISNUMBER(B59),B59=Turno!$B$3,OR(AL59="Preparar",AL59="Completar")),MAX($V$8:V58)+1,0)</f>
        <v>0</v>
      </c>
      <c r="W59" t="s">
        <v>96</v>
      </c>
      <c r="Y59" t="str">
        <f>IF(R59=0,"",INDEX(criterio!$I$11:$I$22,R59))</f>
        <v>Lugar fresco y seco, 15–30 °C.
Proteger de luz y calor.</v>
      </c>
      <c r="Z59">
        <f t="shared" si="15"/>
        <v>25</v>
      </c>
      <c r="AA59" t="str">
        <f>IF(OR(A59="",COUNT(B59:C59)&lt;&gt;2),"",IF(OR(WEEKDAY(B59,2)&gt;5,COUNTIF(criterio!$B$25:$E$25,B59)&gt;0),"Cambiar día de elaboración",IF(OR(WEEKDAY(C59,2)&gt;5,COUNTIF(criterio!$B$25:$E$25,C59)&gt;0),"Cambiar día de retiro",IF(SUMIF($B$9:$B$128,B59,$AD$9:$AD$128)&gt;criterio!$D$26,"Más de dos recetas",IF(OR(A59="",NOT(ISNUMBER(B59))),"",IF(OR(NOT(ISNUMBER($Q$2)),NOT(ISNUMBER($Q$3)),$Q$2&lt;=0,$Q$3&lt;=0),"Revisar topes de carga",IF(SUMIFS($Z$9:$Z$128,$B$9:$B$128,B59,$F$9:$F$128,"kg")/$Q$2+SUMIFS($Z$9:$Z$128,$B$9:$B$128,B59,$F$9:$F$128,"L")/$Q$3&gt;1.000001,"Repartir carga del día","")))))))</f>
        <v/>
      </c>
      <c r="AB59" t="str">
        <f>IF(COUNTA(A59:E59,H59:I59,K59:N59)=0,"",IF(R59=0,"Elegir producto",IF(COUNT(B59:E59)&lt;&gt;4,"Completar fechas",IF(E59&lt;D59,"Revisar días de uso",IF(C59+criterio!$B$3&gt;D59,"El retiro llega tarde",IF(AND(N59&lt;&gt;"",OR(NOT(ISNUMBER(N59)),N59&lt;0)),"Revisar cantidad hecha",IF(AND(M59&lt;&gt;"",OR(NOT(ISNUMBER(M59)),M59&lt;0)),"Revisar cant. a adelantar",IF(AND(AND(ISBLANK(H59),L59="Adelanto"),NOT(ISNUMBER(AM59))),"Cargar cant. a adelantar",IF(AND(AND(ISBLANK(H59),L59="Adelanto"),I59&lt;&gt;"",OR(NOT(ISNUMBER(I59)),I59&lt;&gt;0)),"Revisar stock del adelanto",IF(AND(ISNUMBER(N59),N59&gt;0,L59&lt;&gt;"Sí",L59&lt;&gt;"Adelanto",N(M59)&lt;=0),"Hecho sin liberar",IF(AND(ISBLANK(H59),L59&lt;&gt;"Adelanto",OR(I59&lt;&gt;"",L59="Sí")),"Falta pedido real",IF(AND(H59&lt;&gt;"",OR(NOT(ISNUMBER(H59)),H59&lt;0)),"Revisar pedido",IF(AND(ISNUMBER(H59),H59=0,N(M59)&gt;0,N(N59)&gt;0,N(I59)=0),"Reasignar sobrante",IF(AND(ISNUMBER(H59),H59=0,OR(N59&gt;0,I59&gt;0)),"Revisar pedido y cantidades",IF(AND(ISNUMBER(H59),H59=0),"Sin pedido",IF(AND(ISNUMBER(H59),ISBLANK(I59)),"Falta anotar stock",IF(AND(I59&lt;&gt;"",OR(NOT(ISNUMBER(I59)),I59&lt;0,AND(ISNUMBER(H59),I59&gt;H59))),"Revisar stock asignado",IF(AND(ISNUMBER(I59),I59&gt;0,NOT(ISNUMBER(K59))),"Falta vencimiento de stock",IF(AND(ISNUMBER(I59),I59&gt;0,K59&lt;E59+criterio!$B$4),"El stock no cubre el uso",IF(AND(ISNUMBER(H59),ISNUMBER(I59),H59=I59,OR(N59="",N59=0)),"Cubierto con stock",IF(B59=criterio!$B$25,"Jornada bloqueada",IF(B59+S59&gt;C59,"No llega al retiro",IF(Q59&lt;E59,"Vence antes del último uso",IF(Q59&lt;E59+criterio!$B$4,"Falta margen de vida útil",IF(AND(ISBLANK(H59),L59&lt;&gt;"Adelanto",N(N59)&gt;0,N(M59)&gt;0),"Adelanto en pausa",IF(NOT(ISNUMBER(AM59)),"Previsión",IF(AND(ISNUMBER(H59),N(M59)&gt;0,N(N59)&gt;ROUND(H59-N(I59),3)),"Reasignar sobrante",IF(AND(ISNUMBER(N59),N59&gt;ROUND(AM59-N(I59),3)),"Revisar excedente",IF(AND(ISNUMBER(H59),L59&lt;&gt;"Sí",NOT(AND(N(M59)&gt;0,J59=0))),"Por confirmar",IF(J59=0,"Hecho",IF(AND(ISNUMBER(N59),N59&gt;0),"Completar","Preparar")))))))))))))))))))))))))))))))</f>
        <v>Previsión</v>
      </c>
      <c r="AC59">
        <f t="shared" si="16"/>
        <v>0</v>
      </c>
      <c r="AD59">
        <f>IF(OR(NOT(ISNUMBER(B59)),A59="",NOT(ISNUMBER(Z59)),Z59&lt;=0),0,IF(COUNTIFS($A$9:A59,A59,$B$9:B59,B59,$Z$9:Z59,"&gt;0")=1,1,0))</f>
        <v>1</v>
      </c>
      <c r="AE59">
        <f t="shared" si="17"/>
        <v>0</v>
      </c>
      <c r="AF59">
        <f t="shared" si="18"/>
        <v>0</v>
      </c>
      <c r="AG59" t="str">
        <f>IF(OR(AF59=0,AK59&lt;=0),"",IF(A59="Tsue","Retiro: ","Tanda: ")&amp;ROUND(AE59,3)&amp;" "&amp;F59&amp;". Acordar "&amp;INT(AE59/AK59)&amp;" o "&amp;ROUNDUP(AE59/AK59,0)&amp;IF(A59="Tsue"," envases de 5 L."," porciones de 500 g."))</f>
        <v/>
      </c>
      <c r="AH59">
        <f>IF(COUNTA(A59:E59,H59:I59,K59:L59,N59)=0,0,IF(OR(NOT(ISNUMBER(B59)),B59&lt;'Por semana'!$C$45,B59&gt;'Por semana'!$J$46+6),1,0))</f>
        <v>0</v>
      </c>
      <c r="AI59">
        <f t="shared" si="20"/>
        <v>25</v>
      </c>
      <c r="AJ59">
        <f t="shared" si="21"/>
        <v>1</v>
      </c>
      <c r="AK59">
        <f>IF(R59=0,0,IFERROR(INDEX(criterio!$J$11:$J$22,R59)+0,0))</f>
        <v>5</v>
      </c>
      <c r="AL59" t="str">
        <f t="shared" si="22"/>
        <v>Previsión</v>
      </c>
      <c r="AM59" t="str">
        <f t="shared" si="23"/>
        <v/>
      </c>
    </row>
    <row r="60" spans="1:39" ht="31" customHeight="1">
      <c r="A60" s="5" t="s">
        <v>49</v>
      </c>
      <c r="B60" s="19">
        <v>46395</v>
      </c>
      <c r="C60" s="19">
        <v>46402</v>
      </c>
      <c r="D60" s="19">
        <v>46403</v>
      </c>
      <c r="E60" s="19">
        <v>46418</v>
      </c>
      <c r="F60" s="4" t="str">
        <f>IF(R60=0,"",INDEX(criterio!$B$11:$B$22,R60))</f>
        <v>L</v>
      </c>
      <c r="G60" s="24">
        <f>IFERROR(IF(INDEX(criterio!$B$31:$B$111,MATCH(W60,criterio!$A$31:$A$111,0))=A60,INDEX(criterio!$C$31:$C$111,MATCH(W60,criterio!$A$31:$A$111,0)),""),"")</f>
        <v>13</v>
      </c>
      <c r="H60" s="26"/>
      <c r="I60" s="26"/>
      <c r="J60" s="28" t="str">
        <f t="shared" si="12"/>
        <v/>
      </c>
      <c r="K60" s="20"/>
      <c r="L60" s="21"/>
      <c r="M60" s="26"/>
      <c r="N60" s="26"/>
      <c r="O60" s="6" t="str">
        <f t="shared" si="13"/>
        <v>Previsión</v>
      </c>
      <c r="P60" s="6" t="str">
        <f>IFERROR(IF(AND(INDEX(criterio!$I$31:$I$111,MATCH(W60,criterio!$A$31:$A$111,0))=1,INDEX(criterio!$B$31:$B$111,MATCH(W60,criterio!$A$31:$A$111,0))=A60,ISNUMBER(B60),B60&gt;=criterio!$B$5,D60&lt;=criterio!$B$6,E60&gt;=criterio!$B$5),"Fuera de la previa del 20/12",""),"")</f>
        <v/>
      </c>
      <c r="Q60" s="22">
        <f t="shared" si="14"/>
        <v>46426</v>
      </c>
      <c r="R60">
        <f>IFERROR(MATCH(A60,criterio!$A$11:$A$22,0),0)</f>
        <v>9</v>
      </c>
      <c r="S60">
        <f>IF(R60=0,"",INDEX(criterio!$E$11:$E$22,R60))</f>
        <v>0</v>
      </c>
      <c r="T60">
        <f>IF(R60=0,"",INDEX(criterio!$C$11:$C$22,R60))</f>
        <v>1</v>
      </c>
      <c r="U60" t="str">
        <f>IF(R60=0,"",INDEX(criterio!$D$11:$D$22,R60))</f>
        <v>mes</v>
      </c>
      <c r="V60">
        <f>IF(AND(ISNUMBER(B60),B60=Turno!$B$3,OR(AL60="Preparar",AL60="Completar")),MAX($V$8:V59)+1,0)</f>
        <v>0</v>
      </c>
      <c r="W60" t="s">
        <v>97</v>
      </c>
      <c r="Y60" t="str">
        <f>IF(R60=0,"",INDEX(criterio!$I$11:$I$22,R60))</f>
        <v>Temperatura ambiente.</v>
      </c>
      <c r="Z60">
        <f t="shared" si="15"/>
        <v>13</v>
      </c>
      <c r="AA60" t="str">
        <f>IF(OR(A60="",COUNT(B60:C60)&lt;&gt;2),"",IF(OR(WEEKDAY(B60,2)&gt;5,COUNTIF(criterio!$B$25:$E$25,B60)&gt;0),"Cambiar día de elaboración",IF(OR(WEEKDAY(C60,2)&gt;5,COUNTIF(criterio!$B$25:$E$25,C60)&gt;0),"Cambiar día de retiro",IF(SUMIF($B$9:$B$128,B60,$AD$9:$AD$128)&gt;criterio!$D$26,"Más de dos recetas",IF(OR(A60="",NOT(ISNUMBER(B60))),"",IF(OR(NOT(ISNUMBER($Q$2)),NOT(ISNUMBER($Q$3)),$Q$2&lt;=0,$Q$3&lt;=0),"Revisar topes de carga",IF(SUMIFS($Z$9:$Z$128,$B$9:$B$128,B60,$F$9:$F$128,"kg")/$Q$2+SUMIFS($Z$9:$Z$128,$B$9:$B$128,B60,$F$9:$F$128,"L")/$Q$3&gt;1.000001,"Repartir carga del día","")))))))</f>
        <v/>
      </c>
      <c r="AB60" t="str">
        <f>IF(COUNTA(A60:E60,H60:I60,K60:N60)=0,"",IF(R60=0,"Elegir producto",IF(COUNT(B60:E60)&lt;&gt;4,"Completar fechas",IF(E60&lt;D60,"Revisar días de uso",IF(C60+criterio!$B$3&gt;D60,"El retiro llega tarde",IF(AND(N60&lt;&gt;"",OR(NOT(ISNUMBER(N60)),N60&lt;0)),"Revisar cantidad hecha",IF(AND(M60&lt;&gt;"",OR(NOT(ISNUMBER(M60)),M60&lt;0)),"Revisar cant. a adelantar",IF(AND(AND(ISBLANK(H60),L60="Adelanto"),NOT(ISNUMBER(AM60))),"Cargar cant. a adelantar",IF(AND(AND(ISBLANK(H60),L60="Adelanto"),I60&lt;&gt;"",OR(NOT(ISNUMBER(I60)),I60&lt;&gt;0)),"Revisar stock del adelanto",IF(AND(ISNUMBER(N60),N60&gt;0,L60&lt;&gt;"Sí",L60&lt;&gt;"Adelanto",N(M60)&lt;=0),"Hecho sin liberar",IF(AND(ISBLANK(H60),L60&lt;&gt;"Adelanto",OR(I60&lt;&gt;"",L60="Sí")),"Falta pedido real",IF(AND(H60&lt;&gt;"",OR(NOT(ISNUMBER(H60)),H60&lt;0)),"Revisar pedido",IF(AND(ISNUMBER(H60),H60=0,N(M60)&gt;0,N(N60)&gt;0,N(I60)=0),"Reasignar sobrante",IF(AND(ISNUMBER(H60),H60=0,OR(N60&gt;0,I60&gt;0)),"Revisar pedido y cantidades",IF(AND(ISNUMBER(H60),H60=0),"Sin pedido",IF(AND(ISNUMBER(H60),ISBLANK(I60)),"Falta anotar stock",IF(AND(I60&lt;&gt;"",OR(NOT(ISNUMBER(I60)),I60&lt;0,AND(ISNUMBER(H60),I60&gt;H60))),"Revisar stock asignado",IF(AND(ISNUMBER(I60),I60&gt;0,NOT(ISNUMBER(K60))),"Falta vencimiento de stock",IF(AND(ISNUMBER(I60),I60&gt;0,K60&lt;E60+criterio!$B$4),"El stock no cubre el uso",IF(AND(ISNUMBER(H60),ISNUMBER(I60),H60=I60,OR(N60="",N60=0)),"Cubierto con stock",IF(B60=criterio!$B$25,"Jornada bloqueada",IF(B60+S60&gt;C60,"No llega al retiro",IF(Q60&lt;E60,"Vence antes del último uso",IF(Q60&lt;E60+criterio!$B$4,"Falta margen de vida útil",IF(AND(ISBLANK(H60),L60&lt;&gt;"Adelanto",N(N60)&gt;0,N(M60)&gt;0),"Adelanto en pausa",IF(NOT(ISNUMBER(AM60)),"Previsión",IF(AND(ISNUMBER(H60),N(M60)&gt;0,N(N60)&gt;ROUND(H60-N(I60),3)),"Reasignar sobrante",IF(AND(ISNUMBER(N60),N60&gt;ROUND(AM60-N(I60),3)),"Revisar excedente",IF(AND(ISNUMBER(H60),L60&lt;&gt;"Sí",NOT(AND(N(M60)&gt;0,J60=0))),"Por confirmar",IF(J60=0,"Hecho",IF(AND(ISNUMBER(N60),N60&gt;0),"Completar","Preparar")))))))))))))))))))))))))))))))</f>
        <v>Previsión</v>
      </c>
      <c r="AC60">
        <f t="shared" si="16"/>
        <v>0</v>
      </c>
      <c r="AD60">
        <f>IF(OR(NOT(ISNUMBER(B60)),A60="",NOT(ISNUMBER(Z60)),Z60&lt;=0),0,IF(COUNTIFS($A$9:A60,A60,$B$9:B60,B60,$Z$9:Z60,"&gt;0")=1,1,0))</f>
        <v>1</v>
      </c>
      <c r="AE60">
        <f t="shared" si="17"/>
        <v>0</v>
      </c>
      <c r="AF60">
        <f t="shared" si="18"/>
        <v>0</v>
      </c>
      <c r="AG60" t="str">
        <f>IF(OR(AF60=0,AK60&lt;=0),"",IF(A60="Tsue","Retiro: ","Tanda: ")&amp;ROUND(AE60,3)&amp;" "&amp;F60&amp;". Acordar "&amp;INT(AE60/AK60)&amp;" o "&amp;ROUNDUP(AE60/AK60,0)&amp;IF(A60="Tsue"," envases de 5 L."," porciones de 500 g."))</f>
        <v/>
      </c>
      <c r="AH60">
        <f>IF(COUNTA(A60:E60,H60:I60,K60:L60,N60)=0,0,IF(OR(NOT(ISNUMBER(B60)),B60&lt;'Por semana'!$C$45,B60&gt;'Por semana'!$J$46+6),1,0))</f>
        <v>0</v>
      </c>
      <c r="AI60">
        <f t="shared" si="20"/>
        <v>13</v>
      </c>
      <c r="AJ60">
        <f t="shared" si="21"/>
        <v>1</v>
      </c>
      <c r="AK60">
        <f>IF(R60=0,0,IFERROR(INDEX(criterio!$J$11:$J$22,R60)+0,0))</f>
        <v>0</v>
      </c>
      <c r="AL60" t="str">
        <f t="shared" si="22"/>
        <v>Previsión</v>
      </c>
      <c r="AM60" t="str">
        <f t="shared" si="23"/>
        <v/>
      </c>
    </row>
    <row r="61" spans="1:39" ht="31" customHeight="1">
      <c r="A61" s="5" t="s">
        <v>40</v>
      </c>
      <c r="B61" s="19">
        <v>46395</v>
      </c>
      <c r="C61" s="19">
        <v>46402</v>
      </c>
      <c r="D61" s="19">
        <v>46403</v>
      </c>
      <c r="E61" s="19">
        <v>46418</v>
      </c>
      <c r="F61" s="4" t="str">
        <f>IF(R61=0,"",INDEX(criterio!$B$11:$B$22,R61))</f>
        <v>L</v>
      </c>
      <c r="G61" s="24">
        <f>IFERROR(IF(INDEX(criterio!$B$31:$B$111,MATCH(W61,criterio!$A$31:$A$111,0))=A61,INDEX(criterio!$C$31:$C$111,MATCH(W61,criterio!$A$31:$A$111,0)),""),"")</f>
        <v>25</v>
      </c>
      <c r="H61" s="26"/>
      <c r="I61" s="26"/>
      <c r="J61" s="28" t="str">
        <f t="shared" si="12"/>
        <v/>
      </c>
      <c r="K61" s="20"/>
      <c r="L61" s="21"/>
      <c r="M61" s="26"/>
      <c r="N61" s="26"/>
      <c r="O61" s="6" t="str">
        <f t="shared" si="13"/>
        <v>Previsión</v>
      </c>
      <c r="P61" s="6" t="str">
        <f>IFERROR(IF(AND(INDEX(criterio!$I$31:$I$111,MATCH(W61,criterio!$A$31:$A$111,0))=1,INDEX(criterio!$B$31:$B$111,MATCH(W61,criterio!$A$31:$A$111,0))=A61,ISNUMBER(B61),B61&gt;=criterio!$B$5,D61&lt;=criterio!$B$6,E61&gt;=criterio!$B$5),"Fuera de la previa del 20/12",""),"")</f>
        <v/>
      </c>
      <c r="Q61" s="22">
        <f t="shared" si="14"/>
        <v>46426</v>
      </c>
      <c r="R61">
        <f>IFERROR(MATCH(A61,criterio!$A$11:$A$22,0),0)</f>
        <v>8</v>
      </c>
      <c r="S61">
        <f>IF(R61=0,"",INDEX(criterio!$E$11:$E$22,R61))</f>
        <v>0</v>
      </c>
      <c r="T61">
        <f>IF(R61=0,"",INDEX(criterio!$C$11:$C$22,R61))</f>
        <v>1</v>
      </c>
      <c r="U61" t="str">
        <f>IF(R61=0,"",INDEX(criterio!$D$11:$D$22,R61))</f>
        <v>mes</v>
      </c>
      <c r="V61">
        <f>IF(AND(ISNUMBER(B61),B61=Turno!$B$3,OR(AL61="Preparar",AL61="Completar")),MAX($V$8:V60)+1,0)</f>
        <v>0</v>
      </c>
      <c r="W61" t="s">
        <v>98</v>
      </c>
      <c r="Y61" t="str">
        <f>IF(R61=0,"",INDEX(criterio!$I$11:$I$22,R61))</f>
        <v>Lugar fresco y seco, 15–30 °C.
Proteger de luz y calor.</v>
      </c>
      <c r="Z61">
        <f t="shared" si="15"/>
        <v>25</v>
      </c>
      <c r="AA61" t="str">
        <f>IF(OR(A61="",COUNT(B61:C61)&lt;&gt;2),"",IF(OR(WEEKDAY(B61,2)&gt;5,COUNTIF(criterio!$B$25:$E$25,B61)&gt;0),"Cambiar día de elaboración",IF(OR(WEEKDAY(C61,2)&gt;5,COUNTIF(criterio!$B$25:$E$25,C61)&gt;0),"Cambiar día de retiro",IF(SUMIF($B$9:$B$128,B61,$AD$9:$AD$128)&gt;criterio!$D$26,"Más de dos recetas",IF(OR(A61="",NOT(ISNUMBER(B61))),"",IF(OR(NOT(ISNUMBER($Q$2)),NOT(ISNUMBER($Q$3)),$Q$2&lt;=0,$Q$3&lt;=0),"Revisar topes de carga",IF(SUMIFS($Z$9:$Z$128,$B$9:$B$128,B61,$F$9:$F$128,"kg")/$Q$2+SUMIFS($Z$9:$Z$128,$B$9:$B$128,B61,$F$9:$F$128,"L")/$Q$3&gt;1.000001,"Repartir carga del día","")))))))</f>
        <v/>
      </c>
      <c r="AB61" t="str">
        <f>IF(COUNTA(A61:E61,H61:I61,K61:N61)=0,"",IF(R61=0,"Elegir producto",IF(COUNT(B61:E61)&lt;&gt;4,"Completar fechas",IF(E61&lt;D61,"Revisar días de uso",IF(C61+criterio!$B$3&gt;D61,"El retiro llega tarde",IF(AND(N61&lt;&gt;"",OR(NOT(ISNUMBER(N61)),N61&lt;0)),"Revisar cantidad hecha",IF(AND(M61&lt;&gt;"",OR(NOT(ISNUMBER(M61)),M61&lt;0)),"Revisar cant. a adelantar",IF(AND(AND(ISBLANK(H61),L61="Adelanto"),NOT(ISNUMBER(AM61))),"Cargar cant. a adelantar",IF(AND(AND(ISBLANK(H61),L61="Adelanto"),I61&lt;&gt;"",OR(NOT(ISNUMBER(I61)),I61&lt;&gt;0)),"Revisar stock del adelanto",IF(AND(ISNUMBER(N61),N61&gt;0,L61&lt;&gt;"Sí",L61&lt;&gt;"Adelanto",N(M61)&lt;=0),"Hecho sin liberar",IF(AND(ISBLANK(H61),L61&lt;&gt;"Adelanto",OR(I61&lt;&gt;"",L61="Sí")),"Falta pedido real",IF(AND(H61&lt;&gt;"",OR(NOT(ISNUMBER(H61)),H61&lt;0)),"Revisar pedido",IF(AND(ISNUMBER(H61),H61=0,N(M61)&gt;0,N(N61)&gt;0,N(I61)=0),"Reasignar sobrante",IF(AND(ISNUMBER(H61),H61=0,OR(N61&gt;0,I61&gt;0)),"Revisar pedido y cantidades",IF(AND(ISNUMBER(H61),H61=0),"Sin pedido",IF(AND(ISNUMBER(H61),ISBLANK(I61)),"Falta anotar stock",IF(AND(I61&lt;&gt;"",OR(NOT(ISNUMBER(I61)),I61&lt;0,AND(ISNUMBER(H61),I61&gt;H61))),"Revisar stock asignado",IF(AND(ISNUMBER(I61),I61&gt;0,NOT(ISNUMBER(K61))),"Falta vencimiento de stock",IF(AND(ISNUMBER(I61),I61&gt;0,K61&lt;E61+criterio!$B$4),"El stock no cubre el uso",IF(AND(ISNUMBER(H61),ISNUMBER(I61),H61=I61,OR(N61="",N61=0)),"Cubierto con stock",IF(B61=criterio!$B$25,"Jornada bloqueada",IF(B61+S61&gt;C61,"No llega al retiro",IF(Q61&lt;E61,"Vence antes del último uso",IF(Q61&lt;E61+criterio!$B$4,"Falta margen de vida útil",IF(AND(ISBLANK(H61),L61&lt;&gt;"Adelanto",N(N61)&gt;0,N(M61)&gt;0),"Adelanto en pausa",IF(NOT(ISNUMBER(AM61)),"Previsión",IF(AND(ISNUMBER(H61),N(M61)&gt;0,N(N61)&gt;ROUND(H61-N(I61),3)),"Reasignar sobrante",IF(AND(ISNUMBER(N61),N61&gt;ROUND(AM61-N(I61),3)),"Revisar excedente",IF(AND(ISNUMBER(H61),L61&lt;&gt;"Sí",NOT(AND(N(M61)&gt;0,J61=0))),"Por confirmar",IF(J61=0,"Hecho",IF(AND(ISNUMBER(N61),N61&gt;0),"Completar","Preparar")))))))))))))))))))))))))))))))</f>
        <v>Previsión</v>
      </c>
      <c r="AC61">
        <f t="shared" si="16"/>
        <v>0</v>
      </c>
      <c r="AD61">
        <f>IF(OR(NOT(ISNUMBER(B61)),A61="",NOT(ISNUMBER(Z61)),Z61&lt;=0),0,IF(COUNTIFS($A$9:A61,A61,$B$9:B61,B61,$Z$9:Z61,"&gt;0")=1,1,0))</f>
        <v>1</v>
      </c>
      <c r="AE61">
        <f t="shared" si="17"/>
        <v>0</v>
      </c>
      <c r="AF61">
        <f t="shared" si="18"/>
        <v>0</v>
      </c>
      <c r="AG61" t="str">
        <f>IF(OR(AF61=0,AK61&lt;=0),"",IF(A61="Tsue","Retiro: ","Tanda: ")&amp;ROUND(AE61,3)&amp;" "&amp;F61&amp;". Acordar "&amp;INT(AE61/AK61)&amp;" o "&amp;ROUNDUP(AE61/AK61,0)&amp;IF(A61="Tsue"," envases de 5 L."," porciones de 500 g."))</f>
        <v/>
      </c>
      <c r="AH61">
        <f>IF(COUNTA(A61:E61,H61:I61,K61:L61,N61)=0,0,IF(OR(NOT(ISNUMBER(B61)),B61&lt;'Por semana'!$C$45,B61&gt;'Por semana'!$J$46+6),1,0))</f>
        <v>0</v>
      </c>
      <c r="AI61">
        <f t="shared" si="20"/>
        <v>25</v>
      </c>
      <c r="AJ61">
        <f t="shared" si="21"/>
        <v>1</v>
      </c>
      <c r="AK61">
        <f>IF(R61=0,0,IFERROR(INDEX(criterio!$J$11:$J$22,R61)+0,0))</f>
        <v>5</v>
      </c>
      <c r="AL61" t="str">
        <f t="shared" si="22"/>
        <v>Previsión</v>
      </c>
      <c r="AM61" t="str">
        <f t="shared" si="23"/>
        <v/>
      </c>
    </row>
    <row r="62" spans="1:39" ht="31" customHeight="1">
      <c r="A62" s="5" t="s">
        <v>59</v>
      </c>
      <c r="B62" s="19">
        <v>46398</v>
      </c>
      <c r="C62" s="19">
        <v>46398</v>
      </c>
      <c r="D62" s="19">
        <v>46399</v>
      </c>
      <c r="E62" s="19">
        <v>46405</v>
      </c>
      <c r="F62" s="4" t="str">
        <f>IF(R62=0,"",INDEX(criterio!$B$11:$B$22,R62))</f>
        <v>kg</v>
      </c>
      <c r="G62" s="23">
        <f>IFERROR(IF(INDEX(criterio!$B$31:$B$111,MATCH(W62,criterio!$A$31:$A$111,0))=A62,INDEX(criterio!$C$31:$C$111,MATCH(W62,criterio!$A$31:$A$111,0)),""),"")</f>
        <v>2.8330000000000002</v>
      </c>
      <c r="H62" s="25"/>
      <c r="I62" s="25"/>
      <c r="J62" s="27" t="str">
        <f t="shared" si="12"/>
        <v/>
      </c>
      <c r="K62" s="20"/>
      <c r="L62" s="21"/>
      <c r="M62" s="25"/>
      <c r="N62" s="25"/>
      <c r="O62" s="6" t="str">
        <f t="shared" si="13"/>
        <v>Previsión</v>
      </c>
      <c r="P62" s="6" t="str">
        <f>IFERROR(IF(AND(INDEX(criterio!$I$31:$I$111,MATCH(W62,criterio!$A$31:$A$111,0))=1,INDEX(criterio!$B$31:$B$111,MATCH(W62,criterio!$A$31:$A$111,0))=A62,ISNUMBER(B62),B62&gt;=criterio!$B$5,D62&lt;=criterio!$B$6,E62&gt;=criterio!$B$5),"Fuera de la previa del 20/12",""),"")</f>
        <v/>
      </c>
      <c r="Q62" s="22">
        <f t="shared" si="14"/>
        <v>46408</v>
      </c>
      <c r="R62">
        <f>IFERROR(MATCH(A62,criterio!$A$11:$A$22,0),0)</f>
        <v>12</v>
      </c>
      <c r="S62">
        <f>IF(R62=0,"",INDEX(criterio!$E$11:$E$22,R62))</f>
        <v>0</v>
      </c>
      <c r="T62">
        <f>IF(R62=0,"",INDEX(criterio!$C$11:$C$22,R62))</f>
        <v>10</v>
      </c>
      <c r="U62" t="str">
        <f>IF(R62=0,"",INDEX(criterio!$D$11:$D$22,R62))</f>
        <v>días</v>
      </c>
      <c r="V62">
        <f>IF(AND(ISNUMBER(B62),B62=Turno!$B$3,OR(AL62="Preparar",AL62="Completar")),MAX($V$8:V61)+1,0)</f>
        <v>0</v>
      </c>
      <c r="W62" t="s">
        <v>99</v>
      </c>
      <c r="Y62" t="str">
        <f>IF(R62=0,"",INDEX(criterio!$I$11:$I$22,R62))</f>
        <v>Heladera 0–5 °C.</v>
      </c>
      <c r="Z62">
        <f t="shared" si="15"/>
        <v>2.8330000000000002</v>
      </c>
      <c r="AA62" t="str">
        <f>IF(OR(A62="",COUNT(B62:C62)&lt;&gt;2),"",IF(OR(WEEKDAY(B62,2)&gt;5,COUNTIF(criterio!$B$25:$E$25,B62)&gt;0),"Cambiar día de elaboración",IF(OR(WEEKDAY(C62,2)&gt;5,COUNTIF(criterio!$B$25:$E$25,C62)&gt;0),"Cambiar día de retiro",IF(SUMIF($B$9:$B$128,B62,$AD$9:$AD$128)&gt;criterio!$D$26,"Más de dos recetas",IF(OR(A62="",NOT(ISNUMBER(B62))),"",IF(OR(NOT(ISNUMBER($Q$2)),NOT(ISNUMBER($Q$3)),$Q$2&lt;=0,$Q$3&lt;=0),"Revisar topes de carga",IF(SUMIFS($Z$9:$Z$128,$B$9:$B$128,B62,$F$9:$F$128,"kg")/$Q$2+SUMIFS($Z$9:$Z$128,$B$9:$B$128,B62,$F$9:$F$128,"L")/$Q$3&gt;1.000001,"Repartir carga del día","")))))))</f>
        <v/>
      </c>
      <c r="AB62" t="str">
        <f>IF(COUNTA(A62:E62,H62:I62,K62:N62)=0,"",IF(R62=0,"Elegir producto",IF(COUNT(B62:E62)&lt;&gt;4,"Completar fechas",IF(E62&lt;D62,"Revisar días de uso",IF(C62+criterio!$B$3&gt;D62,"El retiro llega tarde",IF(AND(N62&lt;&gt;"",OR(NOT(ISNUMBER(N62)),N62&lt;0)),"Revisar cantidad hecha",IF(AND(M62&lt;&gt;"",OR(NOT(ISNUMBER(M62)),M62&lt;0)),"Revisar cant. a adelantar",IF(AND(AND(ISBLANK(H62),L62="Adelanto"),NOT(ISNUMBER(AM62))),"Cargar cant. a adelantar",IF(AND(AND(ISBLANK(H62),L62="Adelanto"),I62&lt;&gt;"",OR(NOT(ISNUMBER(I62)),I62&lt;&gt;0)),"Revisar stock del adelanto",IF(AND(ISNUMBER(N62),N62&gt;0,L62&lt;&gt;"Sí",L62&lt;&gt;"Adelanto",N(M62)&lt;=0),"Hecho sin liberar",IF(AND(ISBLANK(H62),L62&lt;&gt;"Adelanto",OR(I62&lt;&gt;"",L62="Sí")),"Falta pedido real",IF(AND(H62&lt;&gt;"",OR(NOT(ISNUMBER(H62)),H62&lt;0)),"Revisar pedido",IF(AND(ISNUMBER(H62),H62=0,N(M62)&gt;0,N(N62)&gt;0,N(I62)=0),"Reasignar sobrante",IF(AND(ISNUMBER(H62),H62=0,OR(N62&gt;0,I62&gt;0)),"Revisar pedido y cantidades",IF(AND(ISNUMBER(H62),H62=0),"Sin pedido",IF(AND(ISNUMBER(H62),ISBLANK(I62)),"Falta anotar stock",IF(AND(I62&lt;&gt;"",OR(NOT(ISNUMBER(I62)),I62&lt;0,AND(ISNUMBER(H62),I62&gt;H62))),"Revisar stock asignado",IF(AND(ISNUMBER(I62),I62&gt;0,NOT(ISNUMBER(K62))),"Falta vencimiento de stock",IF(AND(ISNUMBER(I62),I62&gt;0,K62&lt;E62+criterio!$B$4),"El stock no cubre el uso",IF(AND(ISNUMBER(H62),ISNUMBER(I62),H62=I62,OR(N62="",N62=0)),"Cubierto con stock",IF(B62=criterio!$B$25,"Jornada bloqueada",IF(B62+S62&gt;C62,"No llega al retiro",IF(Q62&lt;E62,"Vence antes del último uso",IF(Q62&lt;E62+criterio!$B$4,"Falta margen de vida útil",IF(AND(ISBLANK(H62),L62&lt;&gt;"Adelanto",N(N62)&gt;0,N(M62)&gt;0),"Adelanto en pausa",IF(NOT(ISNUMBER(AM62)),"Previsión",IF(AND(ISNUMBER(H62),N(M62)&gt;0,N(N62)&gt;ROUND(H62-N(I62),3)),"Reasignar sobrante",IF(AND(ISNUMBER(N62),N62&gt;ROUND(AM62-N(I62),3)),"Revisar excedente",IF(AND(ISNUMBER(H62),L62&lt;&gt;"Sí",NOT(AND(N(M62)&gt;0,J62=0))),"Por confirmar",IF(J62=0,"Hecho",IF(AND(ISNUMBER(N62),N62&gt;0),"Completar","Preparar")))))))))))))))))))))))))))))))</f>
        <v>Previsión</v>
      </c>
      <c r="AC62">
        <f t="shared" si="16"/>
        <v>0</v>
      </c>
      <c r="AD62">
        <f>IF(OR(NOT(ISNUMBER(B62)),A62="",NOT(ISNUMBER(Z62)),Z62&lt;=0),0,IF(COUNTIFS($A$9:A62,A62,$B$9:B62,B62,$Z$9:Z62,"&gt;0")=1,1,0))</f>
        <v>1</v>
      </c>
      <c r="AE62">
        <f t="shared" si="17"/>
        <v>2.8330000000000002</v>
      </c>
      <c r="AF62">
        <f t="shared" si="18"/>
        <v>1</v>
      </c>
      <c r="AG62" t="str">
        <f>IF(OR(AF62=0,AK62&lt;=0),"",IF(A62="Tsue","Retiro: ","Tanda: ")&amp;ROUND(AE62,3)&amp;" "&amp;F62&amp;". Acordar "&amp;INT(AE62/AK62)&amp;" o "&amp;ROUNDUP(AE62/AK62,0)&amp;IF(A62="Tsue"," envases de 5 L."," porciones de 500 g."))</f>
        <v>Tanda: 2.833 kg. Acordar 5 o 6 porciones de 500 g.</v>
      </c>
      <c r="AH62">
        <f>IF(COUNTA(A62:E62,H62:I62,K62:L62,N62)=0,0,IF(OR(NOT(ISNUMBER(B62)),B62&lt;'Por semana'!$C$45,B62&gt;'Por semana'!$J$46+6),1,0))</f>
        <v>0</v>
      </c>
      <c r="AI62">
        <f t="shared" si="20"/>
        <v>2.8330000000000002</v>
      </c>
      <c r="AJ62">
        <f t="shared" si="21"/>
        <v>1</v>
      </c>
      <c r="AK62">
        <f>IF(R62=0,0,IFERROR(INDEX(criterio!$J$11:$J$22,R62)+0,0))</f>
        <v>0.5</v>
      </c>
      <c r="AL62" t="str">
        <f t="shared" si="22"/>
        <v>Previsión</v>
      </c>
      <c r="AM62" t="str">
        <f t="shared" si="23"/>
        <v/>
      </c>
    </row>
    <row r="63" spans="1:39" ht="31" customHeight="1">
      <c r="A63" s="5" t="s">
        <v>34</v>
      </c>
      <c r="B63" s="19">
        <v>46405</v>
      </c>
      <c r="C63" s="19">
        <v>46416</v>
      </c>
      <c r="D63" s="19">
        <v>46419</v>
      </c>
      <c r="E63" s="19">
        <v>46433</v>
      </c>
      <c r="F63" s="4" t="str">
        <f>IF(R63=0,"",INDEX(criterio!$B$11:$B$22,R63))</f>
        <v>kg</v>
      </c>
      <c r="G63" s="23">
        <f>IFERROR(IF(INDEX(criterio!$B$31:$B$111,MATCH(W63,criterio!$A$31:$A$111,0))=A63,INDEX(criterio!$C$31:$C$111,MATCH(W63,criterio!$A$31:$A$111,0)),""),"")</f>
        <v>10</v>
      </c>
      <c r="H63" s="25"/>
      <c r="I63" s="25"/>
      <c r="J63" s="27" t="str">
        <f t="shared" si="12"/>
        <v/>
      </c>
      <c r="K63" s="20"/>
      <c r="L63" s="21"/>
      <c r="M63" s="25"/>
      <c r="N63" s="25"/>
      <c r="O63" s="6" t="str">
        <f t="shared" si="13"/>
        <v>Previsión</v>
      </c>
      <c r="P63" s="6" t="str">
        <f>IFERROR(IF(AND(INDEX(criterio!$I$31:$I$111,MATCH(W63,criterio!$A$31:$A$111,0))=1,INDEX(criterio!$B$31:$B$111,MATCH(W63,criterio!$A$31:$A$111,0))=A63,ISNUMBER(B63),B63&gt;=criterio!$B$5,D63&lt;=criterio!$B$6,E63&gt;=criterio!$B$5),"Fuera de la previa del 20/12",""),"")</f>
        <v/>
      </c>
      <c r="Q63" s="22">
        <f t="shared" si="14"/>
        <v>46495</v>
      </c>
      <c r="R63">
        <f>IFERROR(MATCH(A63,criterio!$A$11:$A$22,0),0)</f>
        <v>1</v>
      </c>
      <c r="S63">
        <f>IF(R63=0,"",INDEX(criterio!$E$11:$E$22,R63))</f>
        <v>0</v>
      </c>
      <c r="T63">
        <f>IF(R63=0,"",INDEX(criterio!$C$11:$C$22,R63))</f>
        <v>90</v>
      </c>
      <c r="U63" t="str">
        <f>IF(R63=0,"",INDEX(criterio!$D$11:$D$22,R63))</f>
        <v>días</v>
      </c>
      <c r="V63">
        <f>IF(AND(ISNUMBER(B63),B63=Turno!$B$3,OR(AL63="Preparar",AL63="Completar")),MAX($V$8:V62)+1,0)</f>
        <v>0</v>
      </c>
      <c r="W63" t="s">
        <v>100</v>
      </c>
      <c r="Y63" t="str">
        <f>IF(R63=0,"",INDEX(criterio!$I$11:$I$22,R63))</f>
        <v>Freezer −18 °C.
Abierta en heladera: 3 días, sin superar vencimiento.</v>
      </c>
      <c r="Z63">
        <f t="shared" si="15"/>
        <v>10</v>
      </c>
      <c r="AA63" t="str">
        <f>IF(OR(A63="",COUNT(B63:C63)&lt;&gt;2),"",IF(OR(WEEKDAY(B63,2)&gt;5,COUNTIF(criterio!$B$25:$E$25,B63)&gt;0),"Cambiar día de elaboración",IF(OR(WEEKDAY(C63,2)&gt;5,COUNTIF(criterio!$B$25:$E$25,C63)&gt;0),"Cambiar día de retiro",IF(SUMIF($B$9:$B$128,B63,$AD$9:$AD$128)&gt;criterio!$D$26,"Más de dos recetas",IF(OR(A63="",NOT(ISNUMBER(B63))),"",IF(OR(NOT(ISNUMBER($Q$2)),NOT(ISNUMBER($Q$3)),$Q$2&lt;=0,$Q$3&lt;=0),"Revisar topes de carga",IF(SUMIFS($Z$9:$Z$128,$B$9:$B$128,B63,$F$9:$F$128,"kg")/$Q$2+SUMIFS($Z$9:$Z$128,$B$9:$B$128,B63,$F$9:$F$128,"L")/$Q$3&gt;1.000001,"Repartir carga del día","")))))))</f>
        <v/>
      </c>
      <c r="AB63" t="str">
        <f>IF(COUNTA(A63:E63,H63:I63,K63:N63)=0,"",IF(R63=0,"Elegir producto",IF(COUNT(B63:E63)&lt;&gt;4,"Completar fechas",IF(E63&lt;D63,"Revisar días de uso",IF(C63+criterio!$B$3&gt;D63,"El retiro llega tarde",IF(AND(N63&lt;&gt;"",OR(NOT(ISNUMBER(N63)),N63&lt;0)),"Revisar cantidad hecha",IF(AND(M63&lt;&gt;"",OR(NOT(ISNUMBER(M63)),M63&lt;0)),"Revisar cant. a adelantar",IF(AND(AND(ISBLANK(H63),L63="Adelanto"),NOT(ISNUMBER(AM63))),"Cargar cant. a adelantar",IF(AND(AND(ISBLANK(H63),L63="Adelanto"),I63&lt;&gt;"",OR(NOT(ISNUMBER(I63)),I63&lt;&gt;0)),"Revisar stock del adelanto",IF(AND(ISNUMBER(N63),N63&gt;0,L63&lt;&gt;"Sí",L63&lt;&gt;"Adelanto",N(M63)&lt;=0),"Hecho sin liberar",IF(AND(ISBLANK(H63),L63&lt;&gt;"Adelanto",OR(I63&lt;&gt;"",L63="Sí")),"Falta pedido real",IF(AND(H63&lt;&gt;"",OR(NOT(ISNUMBER(H63)),H63&lt;0)),"Revisar pedido",IF(AND(ISNUMBER(H63),H63=0,N(M63)&gt;0,N(N63)&gt;0,N(I63)=0),"Reasignar sobrante",IF(AND(ISNUMBER(H63),H63=0,OR(N63&gt;0,I63&gt;0)),"Revisar pedido y cantidades",IF(AND(ISNUMBER(H63),H63=0),"Sin pedido",IF(AND(ISNUMBER(H63),ISBLANK(I63)),"Falta anotar stock",IF(AND(I63&lt;&gt;"",OR(NOT(ISNUMBER(I63)),I63&lt;0,AND(ISNUMBER(H63),I63&gt;H63))),"Revisar stock asignado",IF(AND(ISNUMBER(I63),I63&gt;0,NOT(ISNUMBER(K63))),"Falta vencimiento de stock",IF(AND(ISNUMBER(I63),I63&gt;0,K63&lt;E63+criterio!$B$4),"El stock no cubre el uso",IF(AND(ISNUMBER(H63),ISNUMBER(I63),H63=I63,OR(N63="",N63=0)),"Cubierto con stock",IF(B63=criterio!$B$25,"Jornada bloqueada",IF(B63+S63&gt;C63,"No llega al retiro",IF(Q63&lt;E63,"Vence antes del último uso",IF(Q63&lt;E63+criterio!$B$4,"Falta margen de vida útil",IF(AND(ISBLANK(H63),L63&lt;&gt;"Adelanto",N(N63)&gt;0,N(M63)&gt;0),"Adelanto en pausa",IF(NOT(ISNUMBER(AM63)),"Previsión",IF(AND(ISNUMBER(H63),N(M63)&gt;0,N(N63)&gt;ROUND(H63-N(I63),3)),"Reasignar sobrante",IF(AND(ISNUMBER(N63),N63&gt;ROUND(AM63-N(I63),3)),"Revisar excedente",IF(AND(ISNUMBER(H63),L63&lt;&gt;"Sí",NOT(AND(N(M63)&gt;0,J63=0))),"Por confirmar",IF(J63=0,"Hecho",IF(AND(ISNUMBER(N63),N63&gt;0),"Completar","Preparar")))))))))))))))))))))))))))))))</f>
        <v>Previsión</v>
      </c>
      <c r="AC63">
        <f t="shared" si="16"/>
        <v>0</v>
      </c>
      <c r="AD63">
        <f>IF(OR(NOT(ISNUMBER(B63)),A63="",NOT(ISNUMBER(Z63)),Z63&lt;=0),0,IF(COUNTIFS($A$9:A63,A63,$B$9:B63,B63,$Z$9:Z63,"&gt;0")=1,1,0))</f>
        <v>1</v>
      </c>
      <c r="AE63">
        <f t="shared" si="17"/>
        <v>0</v>
      </c>
      <c r="AF63">
        <f t="shared" si="18"/>
        <v>0</v>
      </c>
      <c r="AG63" t="str">
        <f>IF(OR(AF63=0,AK63&lt;=0),"",IF(A63="Tsue","Retiro: ","Tanda: ")&amp;ROUND(AE63,3)&amp;" "&amp;F63&amp;". Acordar "&amp;INT(AE63/AK63)&amp;" o "&amp;ROUNDUP(AE63/AK63,0)&amp;IF(A63="Tsue"," envases de 5 L."," porciones de 500 g."))</f>
        <v/>
      </c>
      <c r="AH63">
        <f>IF(COUNTA(A63:E63,H63:I63,K63:L63,N63)=0,0,IF(OR(NOT(ISNUMBER(B63)),B63&lt;'Por semana'!$C$45,B63&gt;'Por semana'!$J$46+6),1,0))</f>
        <v>0</v>
      </c>
      <c r="AI63">
        <f t="shared" si="20"/>
        <v>10</v>
      </c>
      <c r="AJ63">
        <f t="shared" si="21"/>
        <v>1</v>
      </c>
      <c r="AK63">
        <f>IF(R63=0,0,IFERROR(INDEX(criterio!$J$11:$J$22,R63)+0,0))</f>
        <v>0</v>
      </c>
      <c r="AL63" t="str">
        <f t="shared" si="22"/>
        <v>Previsión</v>
      </c>
      <c r="AM63" t="str">
        <f t="shared" si="23"/>
        <v/>
      </c>
    </row>
    <row r="64" spans="1:39" ht="31" customHeight="1">
      <c r="A64" s="5" t="s">
        <v>59</v>
      </c>
      <c r="B64" s="19">
        <v>46405</v>
      </c>
      <c r="C64" s="19">
        <v>46405</v>
      </c>
      <c r="D64" s="19">
        <v>46406</v>
      </c>
      <c r="E64" s="19">
        <v>46412</v>
      </c>
      <c r="F64" s="4" t="str">
        <f>IF(R64=0,"",INDEX(criterio!$B$11:$B$22,R64))</f>
        <v>kg</v>
      </c>
      <c r="G64" s="23">
        <f>IFERROR(IF(INDEX(criterio!$B$31:$B$111,MATCH(W64,criterio!$A$31:$A$111,0))=A64,INDEX(criterio!$C$31:$C$111,MATCH(W64,criterio!$A$31:$A$111,0)),""),"")</f>
        <v>3.5</v>
      </c>
      <c r="H64" s="25"/>
      <c r="I64" s="25"/>
      <c r="J64" s="27" t="str">
        <f t="shared" si="12"/>
        <v/>
      </c>
      <c r="K64" s="20"/>
      <c r="L64" s="21"/>
      <c r="M64" s="25"/>
      <c r="N64" s="25"/>
      <c r="O64" s="6" t="str">
        <f t="shared" si="13"/>
        <v>Previsión</v>
      </c>
      <c r="P64" s="6" t="str">
        <f>IFERROR(IF(AND(INDEX(criterio!$I$31:$I$111,MATCH(W64,criterio!$A$31:$A$111,0))=1,INDEX(criterio!$B$31:$B$111,MATCH(W64,criterio!$A$31:$A$111,0))=A64,ISNUMBER(B64),B64&gt;=criterio!$B$5,D64&lt;=criterio!$B$6,E64&gt;=criterio!$B$5),"Fuera de la previa del 20/12",""),"")</f>
        <v/>
      </c>
      <c r="Q64" s="22">
        <f t="shared" si="14"/>
        <v>46415</v>
      </c>
      <c r="R64">
        <f>IFERROR(MATCH(A64,criterio!$A$11:$A$22,0),0)</f>
        <v>12</v>
      </c>
      <c r="S64">
        <f>IF(R64=0,"",INDEX(criterio!$E$11:$E$22,R64))</f>
        <v>0</v>
      </c>
      <c r="T64">
        <f>IF(R64=0,"",INDEX(criterio!$C$11:$C$22,R64))</f>
        <v>10</v>
      </c>
      <c r="U64" t="str">
        <f>IF(R64=0,"",INDEX(criterio!$D$11:$D$22,R64))</f>
        <v>días</v>
      </c>
      <c r="V64">
        <f>IF(AND(ISNUMBER(B64),B64=Turno!$B$3,OR(AL64="Preparar",AL64="Completar")),MAX($V$8:V63)+1,0)</f>
        <v>0</v>
      </c>
      <c r="W64" t="s">
        <v>101</v>
      </c>
      <c r="Y64" t="str">
        <f>IF(R64=0,"",INDEX(criterio!$I$11:$I$22,R64))</f>
        <v>Heladera 0–5 °C.</v>
      </c>
      <c r="Z64">
        <f t="shared" si="15"/>
        <v>3.5</v>
      </c>
      <c r="AA64" t="str">
        <f>IF(OR(A64="",COUNT(B64:C64)&lt;&gt;2),"",IF(OR(WEEKDAY(B64,2)&gt;5,COUNTIF(criterio!$B$25:$E$25,B64)&gt;0),"Cambiar día de elaboración",IF(OR(WEEKDAY(C64,2)&gt;5,COUNTIF(criterio!$B$25:$E$25,C64)&gt;0),"Cambiar día de retiro",IF(SUMIF($B$9:$B$128,B64,$AD$9:$AD$128)&gt;criterio!$D$26,"Más de dos recetas",IF(OR(A64="",NOT(ISNUMBER(B64))),"",IF(OR(NOT(ISNUMBER($Q$2)),NOT(ISNUMBER($Q$3)),$Q$2&lt;=0,$Q$3&lt;=0),"Revisar topes de carga",IF(SUMIFS($Z$9:$Z$128,$B$9:$B$128,B64,$F$9:$F$128,"kg")/$Q$2+SUMIFS($Z$9:$Z$128,$B$9:$B$128,B64,$F$9:$F$128,"L")/$Q$3&gt;1.000001,"Repartir carga del día","")))))))</f>
        <v/>
      </c>
      <c r="AB64" t="str">
        <f>IF(COUNTA(A64:E64,H64:I64,K64:N64)=0,"",IF(R64=0,"Elegir producto",IF(COUNT(B64:E64)&lt;&gt;4,"Completar fechas",IF(E64&lt;D64,"Revisar días de uso",IF(C64+criterio!$B$3&gt;D64,"El retiro llega tarde",IF(AND(N64&lt;&gt;"",OR(NOT(ISNUMBER(N64)),N64&lt;0)),"Revisar cantidad hecha",IF(AND(M64&lt;&gt;"",OR(NOT(ISNUMBER(M64)),M64&lt;0)),"Revisar cant. a adelantar",IF(AND(AND(ISBLANK(H64),L64="Adelanto"),NOT(ISNUMBER(AM64))),"Cargar cant. a adelantar",IF(AND(AND(ISBLANK(H64),L64="Adelanto"),I64&lt;&gt;"",OR(NOT(ISNUMBER(I64)),I64&lt;&gt;0)),"Revisar stock del adelanto",IF(AND(ISNUMBER(N64),N64&gt;0,L64&lt;&gt;"Sí",L64&lt;&gt;"Adelanto",N(M64)&lt;=0),"Hecho sin liberar",IF(AND(ISBLANK(H64),L64&lt;&gt;"Adelanto",OR(I64&lt;&gt;"",L64="Sí")),"Falta pedido real",IF(AND(H64&lt;&gt;"",OR(NOT(ISNUMBER(H64)),H64&lt;0)),"Revisar pedido",IF(AND(ISNUMBER(H64),H64=0,N(M64)&gt;0,N(N64)&gt;0,N(I64)=0),"Reasignar sobrante",IF(AND(ISNUMBER(H64),H64=0,OR(N64&gt;0,I64&gt;0)),"Revisar pedido y cantidades",IF(AND(ISNUMBER(H64),H64=0),"Sin pedido",IF(AND(ISNUMBER(H64),ISBLANK(I64)),"Falta anotar stock",IF(AND(I64&lt;&gt;"",OR(NOT(ISNUMBER(I64)),I64&lt;0,AND(ISNUMBER(H64),I64&gt;H64))),"Revisar stock asignado",IF(AND(ISNUMBER(I64),I64&gt;0,NOT(ISNUMBER(K64))),"Falta vencimiento de stock",IF(AND(ISNUMBER(I64),I64&gt;0,K64&lt;E64+criterio!$B$4),"El stock no cubre el uso",IF(AND(ISNUMBER(H64),ISNUMBER(I64),H64=I64,OR(N64="",N64=0)),"Cubierto con stock",IF(B64=criterio!$B$25,"Jornada bloqueada",IF(B64+S64&gt;C64,"No llega al retiro",IF(Q64&lt;E64,"Vence antes del último uso",IF(Q64&lt;E64+criterio!$B$4,"Falta margen de vida útil",IF(AND(ISBLANK(H64),L64&lt;&gt;"Adelanto",N(N64)&gt;0,N(M64)&gt;0),"Adelanto en pausa",IF(NOT(ISNUMBER(AM64)),"Previsión",IF(AND(ISNUMBER(H64),N(M64)&gt;0,N(N64)&gt;ROUND(H64-N(I64),3)),"Reasignar sobrante",IF(AND(ISNUMBER(N64),N64&gt;ROUND(AM64-N(I64),3)),"Revisar excedente",IF(AND(ISNUMBER(H64),L64&lt;&gt;"Sí",NOT(AND(N(M64)&gt;0,J64=0))),"Por confirmar",IF(J64=0,"Hecho",IF(AND(ISNUMBER(N64),N64&gt;0),"Completar","Preparar")))))))))))))))))))))))))))))))</f>
        <v>Previsión</v>
      </c>
      <c r="AC64">
        <f t="shared" si="16"/>
        <v>0</v>
      </c>
      <c r="AD64">
        <f>IF(OR(NOT(ISNUMBER(B64)),A64="",NOT(ISNUMBER(Z64)),Z64&lt;=0),0,IF(COUNTIFS($A$9:A64,A64,$B$9:B64,B64,$Z$9:Z64,"&gt;0")=1,1,0))</f>
        <v>1</v>
      </c>
      <c r="AE64">
        <f t="shared" si="17"/>
        <v>3.5</v>
      </c>
      <c r="AF64">
        <f t="shared" si="18"/>
        <v>0</v>
      </c>
      <c r="AG64" t="str">
        <f>IF(OR(AF64=0,AK64&lt;=0),"",IF(A64="Tsue","Retiro: ","Tanda: ")&amp;ROUND(AE64,3)&amp;" "&amp;F64&amp;". Acordar "&amp;INT(AE64/AK64)&amp;" o "&amp;ROUNDUP(AE64/AK64,0)&amp;IF(A64="Tsue"," envases de 5 L."," porciones de 500 g."))</f>
        <v/>
      </c>
      <c r="AH64">
        <f>IF(COUNTA(A64:E64,H64:I64,K64:L64,N64)=0,0,IF(OR(NOT(ISNUMBER(B64)),B64&lt;'Por semana'!$C$45,B64&gt;'Por semana'!$J$46+6),1,0))</f>
        <v>0</v>
      </c>
      <c r="AI64">
        <f t="shared" si="20"/>
        <v>3.5</v>
      </c>
      <c r="AJ64">
        <f t="shared" si="21"/>
        <v>1</v>
      </c>
      <c r="AK64">
        <f>IF(R64=0,0,IFERROR(INDEX(criterio!$J$11:$J$22,R64)+0,0))</f>
        <v>0.5</v>
      </c>
      <c r="AL64" t="str">
        <f t="shared" si="22"/>
        <v>Previsión</v>
      </c>
      <c r="AM64" t="str">
        <f t="shared" si="23"/>
        <v/>
      </c>
    </row>
    <row r="65" spans="1:39" ht="31" customHeight="1">
      <c r="A65" s="5" t="s">
        <v>37</v>
      </c>
      <c r="B65" s="19">
        <v>46406</v>
      </c>
      <c r="C65" s="19">
        <v>46416</v>
      </c>
      <c r="D65" s="19">
        <v>46419</v>
      </c>
      <c r="E65" s="19">
        <v>46433</v>
      </c>
      <c r="F65" s="4" t="str">
        <f>IF(R65=0,"",INDEX(criterio!$B$11:$B$22,R65))</f>
        <v>kg</v>
      </c>
      <c r="G65" s="23">
        <f>IFERROR(IF(INDEX(criterio!$B$31:$B$111,MATCH(W65,criterio!$A$31:$A$111,0))=A65,INDEX(criterio!$C$31:$C$111,MATCH(W65,criterio!$A$31:$A$111,0)),""),"")</f>
        <v>14</v>
      </c>
      <c r="H65" s="25"/>
      <c r="I65" s="25"/>
      <c r="J65" s="27" t="str">
        <f t="shared" si="12"/>
        <v/>
      </c>
      <c r="K65" s="20"/>
      <c r="L65" s="21"/>
      <c r="M65" s="25"/>
      <c r="N65" s="25"/>
      <c r="O65" s="6" t="str">
        <f t="shared" si="13"/>
        <v>Previsión</v>
      </c>
      <c r="P65" s="6" t="str">
        <f>IFERROR(IF(AND(INDEX(criterio!$I$31:$I$111,MATCH(W65,criterio!$A$31:$A$111,0))=1,INDEX(criterio!$B$31:$B$111,MATCH(W65,criterio!$A$31:$A$111,0))=A65,ISNUMBER(B65),B65&gt;=criterio!$B$5,D65&lt;=criterio!$B$6,E65&gt;=criterio!$B$5),"Fuera de la previa del 20/12",""),"")</f>
        <v/>
      </c>
      <c r="Q65" s="22">
        <f t="shared" si="14"/>
        <v>46496</v>
      </c>
      <c r="R65">
        <f>IFERROR(MATCH(A65,criterio!$A$11:$A$22,0),0)</f>
        <v>2</v>
      </c>
      <c r="S65">
        <f>IF(R65=0,"",INDEX(criterio!$E$11:$E$22,R65))</f>
        <v>0</v>
      </c>
      <c r="T65">
        <f>IF(R65=0,"",INDEX(criterio!$C$11:$C$22,R65))</f>
        <v>90</v>
      </c>
      <c r="U65" t="str">
        <f>IF(R65=0,"",INDEX(criterio!$D$11:$D$22,R65))</f>
        <v>días</v>
      </c>
      <c r="V65">
        <f>IF(AND(ISNUMBER(B65),B65=Turno!$B$3,OR(AL65="Preparar",AL65="Completar")),MAX($V$8:V64)+1,0)</f>
        <v>0</v>
      </c>
      <c r="W65" t="s">
        <v>102</v>
      </c>
      <c r="Y65" t="str">
        <f>IF(R65=0,"",INDEX(criterio!$I$11:$I$22,R65))</f>
        <v>Freezer −18 °C.
Abierta en heladera: 3 días, sin superar vencimiento.</v>
      </c>
      <c r="Z65">
        <f t="shared" si="15"/>
        <v>14</v>
      </c>
      <c r="AA65" t="str">
        <f>IF(OR(A65="",COUNT(B65:C65)&lt;&gt;2),"",IF(OR(WEEKDAY(B65,2)&gt;5,COUNTIF(criterio!$B$25:$E$25,B65)&gt;0),"Cambiar día de elaboración",IF(OR(WEEKDAY(C65,2)&gt;5,COUNTIF(criterio!$B$25:$E$25,C65)&gt;0),"Cambiar día de retiro",IF(SUMIF($B$9:$B$128,B65,$AD$9:$AD$128)&gt;criterio!$D$26,"Más de dos recetas",IF(OR(A65="",NOT(ISNUMBER(B65))),"",IF(OR(NOT(ISNUMBER($Q$2)),NOT(ISNUMBER($Q$3)),$Q$2&lt;=0,$Q$3&lt;=0),"Revisar topes de carga",IF(SUMIFS($Z$9:$Z$128,$B$9:$B$128,B65,$F$9:$F$128,"kg")/$Q$2+SUMIFS($Z$9:$Z$128,$B$9:$B$128,B65,$F$9:$F$128,"L")/$Q$3&gt;1.000001,"Repartir carga del día","")))))))</f>
        <v/>
      </c>
      <c r="AB65" t="str">
        <f>IF(COUNTA(A65:E65,H65:I65,K65:N65)=0,"",IF(R65=0,"Elegir producto",IF(COUNT(B65:E65)&lt;&gt;4,"Completar fechas",IF(E65&lt;D65,"Revisar días de uso",IF(C65+criterio!$B$3&gt;D65,"El retiro llega tarde",IF(AND(N65&lt;&gt;"",OR(NOT(ISNUMBER(N65)),N65&lt;0)),"Revisar cantidad hecha",IF(AND(M65&lt;&gt;"",OR(NOT(ISNUMBER(M65)),M65&lt;0)),"Revisar cant. a adelantar",IF(AND(AND(ISBLANK(H65),L65="Adelanto"),NOT(ISNUMBER(AM65))),"Cargar cant. a adelantar",IF(AND(AND(ISBLANK(H65),L65="Adelanto"),I65&lt;&gt;"",OR(NOT(ISNUMBER(I65)),I65&lt;&gt;0)),"Revisar stock del adelanto",IF(AND(ISNUMBER(N65),N65&gt;0,L65&lt;&gt;"Sí",L65&lt;&gt;"Adelanto",N(M65)&lt;=0),"Hecho sin liberar",IF(AND(ISBLANK(H65),L65&lt;&gt;"Adelanto",OR(I65&lt;&gt;"",L65="Sí")),"Falta pedido real",IF(AND(H65&lt;&gt;"",OR(NOT(ISNUMBER(H65)),H65&lt;0)),"Revisar pedido",IF(AND(ISNUMBER(H65),H65=0,N(M65)&gt;0,N(N65)&gt;0,N(I65)=0),"Reasignar sobrante",IF(AND(ISNUMBER(H65),H65=0,OR(N65&gt;0,I65&gt;0)),"Revisar pedido y cantidades",IF(AND(ISNUMBER(H65),H65=0),"Sin pedido",IF(AND(ISNUMBER(H65),ISBLANK(I65)),"Falta anotar stock",IF(AND(I65&lt;&gt;"",OR(NOT(ISNUMBER(I65)),I65&lt;0,AND(ISNUMBER(H65),I65&gt;H65))),"Revisar stock asignado",IF(AND(ISNUMBER(I65),I65&gt;0,NOT(ISNUMBER(K65))),"Falta vencimiento de stock",IF(AND(ISNUMBER(I65),I65&gt;0,K65&lt;E65+criterio!$B$4),"El stock no cubre el uso",IF(AND(ISNUMBER(H65),ISNUMBER(I65),H65=I65,OR(N65="",N65=0)),"Cubierto con stock",IF(B65=criterio!$B$25,"Jornada bloqueada",IF(B65+S65&gt;C65,"No llega al retiro",IF(Q65&lt;E65,"Vence antes del último uso",IF(Q65&lt;E65+criterio!$B$4,"Falta margen de vida útil",IF(AND(ISBLANK(H65),L65&lt;&gt;"Adelanto",N(N65)&gt;0,N(M65)&gt;0),"Adelanto en pausa",IF(NOT(ISNUMBER(AM65)),"Previsión",IF(AND(ISNUMBER(H65),N(M65)&gt;0,N(N65)&gt;ROUND(H65-N(I65),3)),"Reasignar sobrante",IF(AND(ISNUMBER(N65),N65&gt;ROUND(AM65-N(I65),3)),"Revisar excedente",IF(AND(ISNUMBER(H65),L65&lt;&gt;"Sí",NOT(AND(N(M65)&gt;0,J65=0))),"Por confirmar",IF(J65=0,"Hecho",IF(AND(ISNUMBER(N65),N65&gt;0),"Completar","Preparar")))))))))))))))))))))))))))))))</f>
        <v>Previsión</v>
      </c>
      <c r="AC65">
        <f t="shared" si="16"/>
        <v>0</v>
      </c>
      <c r="AD65">
        <f>IF(OR(NOT(ISNUMBER(B65)),A65="",NOT(ISNUMBER(Z65)),Z65&lt;=0),0,IF(COUNTIFS($A$9:A65,A65,$B$9:B65,B65,$Z$9:Z65,"&gt;0")=1,1,0))</f>
        <v>1</v>
      </c>
      <c r="AE65">
        <f t="shared" si="17"/>
        <v>0</v>
      </c>
      <c r="AF65">
        <f t="shared" si="18"/>
        <v>0</v>
      </c>
      <c r="AG65" t="str">
        <f>IF(OR(AF65=0,AK65&lt;=0),"",IF(A65="Tsue","Retiro: ","Tanda: ")&amp;ROUND(AE65,3)&amp;" "&amp;F65&amp;". Acordar "&amp;INT(AE65/AK65)&amp;" o "&amp;ROUNDUP(AE65/AK65,0)&amp;IF(A65="Tsue"," envases de 5 L."," porciones de 500 g."))</f>
        <v/>
      </c>
      <c r="AH65">
        <f>IF(COUNTA(A65:E65,H65:I65,K65:L65,N65)=0,0,IF(OR(NOT(ISNUMBER(B65)),B65&lt;'Por semana'!$C$45,B65&gt;'Por semana'!$J$46+6),1,0))</f>
        <v>0</v>
      </c>
      <c r="AI65">
        <f t="shared" si="20"/>
        <v>14</v>
      </c>
      <c r="AJ65">
        <f t="shared" si="21"/>
        <v>1</v>
      </c>
      <c r="AK65">
        <f>IF(R65=0,0,IFERROR(INDEX(criterio!$J$11:$J$22,R65)+0,0))</f>
        <v>0</v>
      </c>
      <c r="AL65" t="str">
        <f t="shared" si="22"/>
        <v>Previsión</v>
      </c>
      <c r="AM65" t="str">
        <f t="shared" si="23"/>
        <v/>
      </c>
    </row>
    <row r="66" spans="1:39" ht="31" customHeight="1">
      <c r="A66" s="5" t="s">
        <v>46</v>
      </c>
      <c r="B66" s="19">
        <v>46406</v>
      </c>
      <c r="C66" s="19">
        <v>46416</v>
      </c>
      <c r="D66" s="19">
        <v>46419</v>
      </c>
      <c r="E66" s="19">
        <v>46433</v>
      </c>
      <c r="F66" s="4" t="str">
        <f>IF(R66=0,"",INDEX(criterio!$B$11:$B$22,R66))</f>
        <v>kg</v>
      </c>
      <c r="G66" s="23">
        <f>IFERROR(IF(INDEX(criterio!$B$31:$B$111,MATCH(W66,criterio!$A$31:$A$111,0))=A66,INDEX(criterio!$C$31:$C$111,MATCH(W66,criterio!$A$31:$A$111,0)),""),"")</f>
        <v>2</v>
      </c>
      <c r="H66" s="25"/>
      <c r="I66" s="25"/>
      <c r="J66" s="27" t="str">
        <f t="shared" si="12"/>
        <v/>
      </c>
      <c r="K66" s="20"/>
      <c r="L66" s="21"/>
      <c r="M66" s="25"/>
      <c r="N66" s="25"/>
      <c r="O66" s="6" t="str">
        <f t="shared" si="13"/>
        <v>Previsión</v>
      </c>
      <c r="P66" s="6" t="str">
        <f>IFERROR(IF(AND(INDEX(criterio!$I$31:$I$111,MATCH(W66,criterio!$A$31:$A$111,0))=1,INDEX(criterio!$B$31:$B$111,MATCH(W66,criterio!$A$31:$A$111,0))=A66,ISNUMBER(B66),B66&gt;=criterio!$B$5,D66&lt;=criterio!$B$6,E66&gt;=criterio!$B$5),"Fuera de la previa del 20/12",""),"")</f>
        <v/>
      </c>
      <c r="Q66" s="22">
        <f t="shared" si="14"/>
        <v>46466</v>
      </c>
      <c r="R66">
        <f>IFERROR(MATCH(A66,criterio!$A$11:$A$22,0),0)</f>
        <v>5</v>
      </c>
      <c r="S66">
        <f>IF(R66=0,"",INDEX(criterio!$E$11:$E$22,R66))</f>
        <v>0</v>
      </c>
      <c r="T66">
        <f>IF(R66=0,"",INDEX(criterio!$C$11:$C$22,R66))</f>
        <v>60</v>
      </c>
      <c r="U66" t="str">
        <f>IF(R66=0,"",INDEX(criterio!$D$11:$D$22,R66))</f>
        <v>días</v>
      </c>
      <c r="V66">
        <f>IF(AND(ISNUMBER(B66),B66=Turno!$B$3,OR(AL66="Preparar",AL66="Completar")),MAX($V$8:V65)+1,0)</f>
        <v>0</v>
      </c>
      <c r="W66" t="s">
        <v>103</v>
      </c>
      <c r="Y66" t="str">
        <f>IF(R66=0,"",INDEX(criterio!$I$11:$I$22,R66))</f>
        <v>Seco, cerrado y sin humedad.
Abierto: 7 días, sin superar vencimiento.</v>
      </c>
      <c r="Z66">
        <f t="shared" si="15"/>
        <v>2</v>
      </c>
      <c r="AA66" t="str">
        <f>IF(OR(A66="",COUNT(B66:C66)&lt;&gt;2),"",IF(OR(WEEKDAY(B66,2)&gt;5,COUNTIF(criterio!$B$25:$E$25,B66)&gt;0),"Cambiar día de elaboración",IF(OR(WEEKDAY(C66,2)&gt;5,COUNTIF(criterio!$B$25:$E$25,C66)&gt;0),"Cambiar día de retiro",IF(SUMIF($B$9:$B$128,B66,$AD$9:$AD$128)&gt;criterio!$D$26,"Más de dos recetas",IF(OR(A66="",NOT(ISNUMBER(B66))),"",IF(OR(NOT(ISNUMBER($Q$2)),NOT(ISNUMBER($Q$3)),$Q$2&lt;=0,$Q$3&lt;=0),"Revisar topes de carga",IF(SUMIFS($Z$9:$Z$128,$B$9:$B$128,B66,$F$9:$F$128,"kg")/$Q$2+SUMIFS($Z$9:$Z$128,$B$9:$B$128,B66,$F$9:$F$128,"L")/$Q$3&gt;1.000001,"Repartir carga del día","")))))))</f>
        <v/>
      </c>
      <c r="AB66" t="str">
        <f>IF(COUNTA(A66:E66,H66:I66,K66:N66)=0,"",IF(R66=0,"Elegir producto",IF(COUNT(B66:E66)&lt;&gt;4,"Completar fechas",IF(E66&lt;D66,"Revisar días de uso",IF(C66+criterio!$B$3&gt;D66,"El retiro llega tarde",IF(AND(N66&lt;&gt;"",OR(NOT(ISNUMBER(N66)),N66&lt;0)),"Revisar cantidad hecha",IF(AND(M66&lt;&gt;"",OR(NOT(ISNUMBER(M66)),M66&lt;0)),"Revisar cant. a adelantar",IF(AND(AND(ISBLANK(H66),L66="Adelanto"),NOT(ISNUMBER(AM66))),"Cargar cant. a adelantar",IF(AND(AND(ISBLANK(H66),L66="Adelanto"),I66&lt;&gt;"",OR(NOT(ISNUMBER(I66)),I66&lt;&gt;0)),"Revisar stock del adelanto",IF(AND(ISNUMBER(N66),N66&gt;0,L66&lt;&gt;"Sí",L66&lt;&gt;"Adelanto",N(M66)&lt;=0),"Hecho sin liberar",IF(AND(ISBLANK(H66),L66&lt;&gt;"Adelanto",OR(I66&lt;&gt;"",L66="Sí")),"Falta pedido real",IF(AND(H66&lt;&gt;"",OR(NOT(ISNUMBER(H66)),H66&lt;0)),"Revisar pedido",IF(AND(ISNUMBER(H66),H66=0,N(M66)&gt;0,N(N66)&gt;0,N(I66)=0),"Reasignar sobrante",IF(AND(ISNUMBER(H66),H66=0,OR(N66&gt;0,I66&gt;0)),"Revisar pedido y cantidades",IF(AND(ISNUMBER(H66),H66=0),"Sin pedido",IF(AND(ISNUMBER(H66),ISBLANK(I66)),"Falta anotar stock",IF(AND(I66&lt;&gt;"",OR(NOT(ISNUMBER(I66)),I66&lt;0,AND(ISNUMBER(H66),I66&gt;H66))),"Revisar stock asignado",IF(AND(ISNUMBER(I66),I66&gt;0,NOT(ISNUMBER(K66))),"Falta vencimiento de stock",IF(AND(ISNUMBER(I66),I66&gt;0,K66&lt;E66+criterio!$B$4),"El stock no cubre el uso",IF(AND(ISNUMBER(H66),ISNUMBER(I66),H66=I66,OR(N66="",N66=0)),"Cubierto con stock",IF(B66=criterio!$B$25,"Jornada bloqueada",IF(B66+S66&gt;C66,"No llega al retiro",IF(Q66&lt;E66,"Vence antes del último uso",IF(Q66&lt;E66+criterio!$B$4,"Falta margen de vida útil",IF(AND(ISBLANK(H66),L66&lt;&gt;"Adelanto",N(N66)&gt;0,N(M66)&gt;0),"Adelanto en pausa",IF(NOT(ISNUMBER(AM66)),"Previsión",IF(AND(ISNUMBER(H66),N(M66)&gt;0,N(N66)&gt;ROUND(H66-N(I66),3)),"Reasignar sobrante",IF(AND(ISNUMBER(N66),N66&gt;ROUND(AM66-N(I66),3)),"Revisar excedente",IF(AND(ISNUMBER(H66),L66&lt;&gt;"Sí",NOT(AND(N(M66)&gt;0,J66=0))),"Por confirmar",IF(J66=0,"Hecho",IF(AND(ISNUMBER(N66),N66&gt;0),"Completar","Preparar")))))))))))))))))))))))))))))))</f>
        <v>Previsión</v>
      </c>
      <c r="AC66">
        <f t="shared" si="16"/>
        <v>0</v>
      </c>
      <c r="AD66">
        <f>IF(OR(NOT(ISNUMBER(B66)),A66="",NOT(ISNUMBER(Z66)),Z66&lt;=0),0,IF(COUNTIFS($A$9:A66,A66,$B$9:B66,B66,$Z$9:Z66,"&gt;0")=1,1,0))</f>
        <v>1</v>
      </c>
      <c r="AE66">
        <f t="shared" si="17"/>
        <v>0</v>
      </c>
      <c r="AF66">
        <f t="shared" si="18"/>
        <v>0</v>
      </c>
      <c r="AG66" t="str">
        <f>IF(OR(AF66=0,AK66&lt;=0),"",IF(A66="Tsue","Retiro: ","Tanda: ")&amp;ROUND(AE66,3)&amp;" "&amp;F66&amp;". Acordar "&amp;INT(AE66/AK66)&amp;" o "&amp;ROUNDUP(AE66/AK66,0)&amp;IF(A66="Tsue"," envases de 5 L."," porciones de 500 g."))</f>
        <v/>
      </c>
      <c r="AH66">
        <f>IF(COUNTA(A66:E66,H66:I66,K66:L66,N66)=0,0,IF(OR(NOT(ISNUMBER(B66)),B66&lt;'Por semana'!$C$45,B66&gt;'Por semana'!$J$46+6),1,0))</f>
        <v>0</v>
      </c>
      <c r="AI66">
        <f t="shared" si="20"/>
        <v>2</v>
      </c>
      <c r="AJ66">
        <f t="shared" si="21"/>
        <v>1</v>
      </c>
      <c r="AK66">
        <f>IF(R66=0,0,IFERROR(INDEX(criterio!$J$11:$J$22,R66)+0,0))</f>
        <v>0</v>
      </c>
      <c r="AL66" t="str">
        <f t="shared" si="22"/>
        <v>Previsión</v>
      </c>
      <c r="AM66" t="str">
        <f t="shared" si="23"/>
        <v/>
      </c>
    </row>
    <row r="67" spans="1:39" ht="31" customHeight="1">
      <c r="A67" s="5" t="s">
        <v>42</v>
      </c>
      <c r="B67" s="19">
        <v>46407</v>
      </c>
      <c r="C67" s="19">
        <v>46416</v>
      </c>
      <c r="D67" s="19">
        <v>46419</v>
      </c>
      <c r="E67" s="19">
        <v>46433</v>
      </c>
      <c r="F67" s="4" t="str">
        <f>IF(R67=0,"",INDEX(criterio!$B$11:$B$22,R67))</f>
        <v>kg</v>
      </c>
      <c r="G67" s="23">
        <f>IFERROR(IF(INDEX(criterio!$B$31:$B$111,MATCH(W67,criterio!$A$31:$A$111,0))=A67,INDEX(criterio!$C$31:$C$111,MATCH(W67,criterio!$A$31:$A$111,0)),""),"")</f>
        <v>8</v>
      </c>
      <c r="H67" s="25"/>
      <c r="I67" s="25"/>
      <c r="J67" s="27" t="str">
        <f t="shared" si="12"/>
        <v/>
      </c>
      <c r="K67" s="20"/>
      <c r="L67" s="21"/>
      <c r="M67" s="25"/>
      <c r="N67" s="25"/>
      <c r="O67" s="6" t="str">
        <f t="shared" si="13"/>
        <v>Previsión</v>
      </c>
      <c r="P67" s="6" t="str">
        <f>IFERROR(IF(AND(INDEX(criterio!$I$31:$I$111,MATCH(W67,criterio!$A$31:$A$111,0))=1,INDEX(criterio!$B$31:$B$111,MATCH(W67,criterio!$A$31:$A$111,0))=A67,ISNUMBER(B67),B67&gt;=criterio!$B$5,D67&lt;=criterio!$B$6,E67&gt;=criterio!$B$5),"Fuera de la previa del 20/12",""),"")</f>
        <v/>
      </c>
      <c r="Q67" s="22">
        <f t="shared" si="14"/>
        <v>46467</v>
      </c>
      <c r="R67">
        <f>IFERROR(MATCH(A67,criterio!$A$11:$A$22,0),0)</f>
        <v>4</v>
      </c>
      <c r="S67">
        <f>IF(R67=0,"",INDEX(criterio!$E$11:$E$22,R67))</f>
        <v>0</v>
      </c>
      <c r="T67">
        <f>IF(R67=0,"",INDEX(criterio!$C$11:$C$22,R67))</f>
        <v>60</v>
      </c>
      <c r="U67" t="str">
        <f>IF(R67=0,"",INDEX(criterio!$D$11:$D$22,R67))</f>
        <v>días</v>
      </c>
      <c r="V67">
        <f>IF(AND(ISNUMBER(B67),B67=Turno!$B$3,OR(AL67="Preparar",AL67="Completar")),MAX($V$8:V66)+1,0)</f>
        <v>0</v>
      </c>
      <c r="W67" t="s">
        <v>104</v>
      </c>
      <c r="Y67" t="str">
        <f>IF(R67=0,"",INDEX(criterio!$I$11:$I$22,R67))</f>
        <v>Seco, cerrado y sin humedad.
Abierto: 7 días, sin superar vencimiento.</v>
      </c>
      <c r="Z67">
        <f t="shared" si="15"/>
        <v>8</v>
      </c>
      <c r="AA67" t="str">
        <f>IF(OR(A67="",COUNT(B67:C67)&lt;&gt;2),"",IF(OR(WEEKDAY(B67,2)&gt;5,COUNTIF(criterio!$B$25:$E$25,B67)&gt;0),"Cambiar día de elaboración",IF(OR(WEEKDAY(C67,2)&gt;5,COUNTIF(criterio!$B$25:$E$25,C67)&gt;0),"Cambiar día de retiro",IF(SUMIF($B$9:$B$128,B67,$AD$9:$AD$128)&gt;criterio!$D$26,"Más de dos recetas",IF(OR(A67="",NOT(ISNUMBER(B67))),"",IF(OR(NOT(ISNUMBER($Q$2)),NOT(ISNUMBER($Q$3)),$Q$2&lt;=0,$Q$3&lt;=0),"Revisar topes de carga",IF(SUMIFS($Z$9:$Z$128,$B$9:$B$128,B67,$F$9:$F$128,"kg")/$Q$2+SUMIFS($Z$9:$Z$128,$B$9:$B$128,B67,$F$9:$F$128,"L")/$Q$3&gt;1.000001,"Repartir carga del día","")))))))</f>
        <v/>
      </c>
      <c r="AB67" t="str">
        <f>IF(COUNTA(A67:E67,H67:I67,K67:N67)=0,"",IF(R67=0,"Elegir producto",IF(COUNT(B67:E67)&lt;&gt;4,"Completar fechas",IF(E67&lt;D67,"Revisar días de uso",IF(C67+criterio!$B$3&gt;D67,"El retiro llega tarde",IF(AND(N67&lt;&gt;"",OR(NOT(ISNUMBER(N67)),N67&lt;0)),"Revisar cantidad hecha",IF(AND(M67&lt;&gt;"",OR(NOT(ISNUMBER(M67)),M67&lt;0)),"Revisar cant. a adelantar",IF(AND(AND(ISBLANK(H67),L67="Adelanto"),NOT(ISNUMBER(AM67))),"Cargar cant. a adelantar",IF(AND(AND(ISBLANK(H67),L67="Adelanto"),I67&lt;&gt;"",OR(NOT(ISNUMBER(I67)),I67&lt;&gt;0)),"Revisar stock del adelanto",IF(AND(ISNUMBER(N67),N67&gt;0,L67&lt;&gt;"Sí",L67&lt;&gt;"Adelanto",N(M67)&lt;=0),"Hecho sin liberar",IF(AND(ISBLANK(H67),L67&lt;&gt;"Adelanto",OR(I67&lt;&gt;"",L67="Sí")),"Falta pedido real",IF(AND(H67&lt;&gt;"",OR(NOT(ISNUMBER(H67)),H67&lt;0)),"Revisar pedido",IF(AND(ISNUMBER(H67),H67=0,N(M67)&gt;0,N(N67)&gt;0,N(I67)=0),"Reasignar sobrante",IF(AND(ISNUMBER(H67),H67=0,OR(N67&gt;0,I67&gt;0)),"Revisar pedido y cantidades",IF(AND(ISNUMBER(H67),H67=0),"Sin pedido",IF(AND(ISNUMBER(H67),ISBLANK(I67)),"Falta anotar stock",IF(AND(I67&lt;&gt;"",OR(NOT(ISNUMBER(I67)),I67&lt;0,AND(ISNUMBER(H67),I67&gt;H67))),"Revisar stock asignado",IF(AND(ISNUMBER(I67),I67&gt;0,NOT(ISNUMBER(K67))),"Falta vencimiento de stock",IF(AND(ISNUMBER(I67),I67&gt;0,K67&lt;E67+criterio!$B$4),"El stock no cubre el uso",IF(AND(ISNUMBER(H67),ISNUMBER(I67),H67=I67,OR(N67="",N67=0)),"Cubierto con stock",IF(B67=criterio!$B$25,"Jornada bloqueada",IF(B67+S67&gt;C67,"No llega al retiro",IF(Q67&lt;E67,"Vence antes del último uso",IF(Q67&lt;E67+criterio!$B$4,"Falta margen de vida útil",IF(AND(ISBLANK(H67),L67&lt;&gt;"Adelanto",N(N67)&gt;0,N(M67)&gt;0),"Adelanto en pausa",IF(NOT(ISNUMBER(AM67)),"Previsión",IF(AND(ISNUMBER(H67),N(M67)&gt;0,N(N67)&gt;ROUND(H67-N(I67),3)),"Reasignar sobrante",IF(AND(ISNUMBER(N67),N67&gt;ROUND(AM67-N(I67),3)),"Revisar excedente",IF(AND(ISNUMBER(H67),L67&lt;&gt;"Sí",NOT(AND(N(M67)&gt;0,J67=0))),"Por confirmar",IF(J67=0,"Hecho",IF(AND(ISNUMBER(N67),N67&gt;0),"Completar","Preparar")))))))))))))))))))))))))))))))</f>
        <v>Previsión</v>
      </c>
      <c r="AC67">
        <f t="shared" si="16"/>
        <v>0</v>
      </c>
      <c r="AD67">
        <f>IF(OR(NOT(ISNUMBER(B67)),A67="",NOT(ISNUMBER(Z67)),Z67&lt;=0),0,IF(COUNTIFS($A$9:A67,A67,$B$9:B67,B67,$Z$9:Z67,"&gt;0")=1,1,0))</f>
        <v>1</v>
      </c>
      <c r="AE67">
        <f t="shared" si="17"/>
        <v>0</v>
      </c>
      <c r="AF67">
        <f t="shared" si="18"/>
        <v>0</v>
      </c>
      <c r="AG67" t="str">
        <f>IF(OR(AF67=0,AK67&lt;=0),"",IF(A67="Tsue","Retiro: ","Tanda: ")&amp;ROUND(AE67,3)&amp;" "&amp;F67&amp;". Acordar "&amp;INT(AE67/AK67)&amp;" o "&amp;ROUNDUP(AE67/AK67,0)&amp;IF(A67="Tsue"," envases de 5 L."," porciones de 500 g."))</f>
        <v/>
      </c>
      <c r="AH67">
        <f>IF(COUNTA(A67:E67,H67:I67,K67:L67,N67)=0,0,IF(OR(NOT(ISNUMBER(B67)),B67&lt;'Por semana'!$C$45,B67&gt;'Por semana'!$J$46+6),1,0))</f>
        <v>0</v>
      </c>
      <c r="AI67">
        <f t="shared" si="20"/>
        <v>8</v>
      </c>
      <c r="AJ67">
        <f t="shared" si="21"/>
        <v>1</v>
      </c>
      <c r="AK67">
        <f>IF(R67=0,0,IFERROR(INDEX(criterio!$J$11:$J$22,R67)+0,0))</f>
        <v>0</v>
      </c>
      <c r="AL67" t="str">
        <f t="shared" si="22"/>
        <v>Previsión</v>
      </c>
      <c r="AM67" t="str">
        <f t="shared" si="23"/>
        <v/>
      </c>
    </row>
    <row r="68" spans="1:39" ht="31" customHeight="1">
      <c r="A68" s="5" t="s">
        <v>53</v>
      </c>
      <c r="B68" s="19">
        <v>46407</v>
      </c>
      <c r="C68" s="19">
        <v>46416</v>
      </c>
      <c r="D68" s="19">
        <v>46419</v>
      </c>
      <c r="E68" s="19">
        <v>46425</v>
      </c>
      <c r="F68" s="4" t="str">
        <f>IF(R68=0,"",INDEX(criterio!$B$11:$B$22,R68))</f>
        <v>kg</v>
      </c>
      <c r="G68" s="23">
        <f>IFERROR(IF(INDEX(criterio!$B$31:$B$111,MATCH(W68,criterio!$A$31:$A$111,0))=A68,INDEX(criterio!$C$31:$C$111,MATCH(W68,criterio!$A$31:$A$111,0)),""),"")</f>
        <v>13</v>
      </c>
      <c r="H68" s="25"/>
      <c r="I68" s="25"/>
      <c r="J68" s="27" t="str">
        <f t="shared" si="12"/>
        <v/>
      </c>
      <c r="K68" s="20"/>
      <c r="L68" s="21"/>
      <c r="M68" s="25"/>
      <c r="N68" s="25"/>
      <c r="O68" s="6" t="str">
        <f t="shared" si="13"/>
        <v>Previsión</v>
      </c>
      <c r="P68" s="6" t="str">
        <f>IFERROR(IF(AND(INDEX(criterio!$I$31:$I$111,MATCH(W68,criterio!$A$31:$A$111,0))=1,INDEX(criterio!$B$31:$B$111,MATCH(W68,criterio!$A$31:$A$111,0))=A68,ISNUMBER(B68),B68&gt;=criterio!$B$5,D68&lt;=criterio!$B$6,E68&gt;=criterio!$B$5),"Fuera de la previa del 20/12",""),"")</f>
        <v/>
      </c>
      <c r="Q68" s="22">
        <f t="shared" si="14"/>
        <v>46437</v>
      </c>
      <c r="R68">
        <f>IFERROR(MATCH(A68,criterio!$A$11:$A$22,0),0)</f>
        <v>6</v>
      </c>
      <c r="S68">
        <f>IF(R68=0,"",INDEX(criterio!$E$11:$E$22,R68))</f>
        <v>0</v>
      </c>
      <c r="T68">
        <f>IF(R68=0,"",INDEX(criterio!$C$11:$C$22,R68))</f>
        <v>30</v>
      </c>
      <c r="U68" t="str">
        <f>IF(R68=0,"",INDEX(criterio!$D$11:$D$22,R68))</f>
        <v>días</v>
      </c>
      <c r="V68">
        <f>IF(AND(ISNUMBER(B68),B68=Turno!$B$3,OR(AL68="Preparar",AL68="Completar")),MAX($V$8:V67)+1,0)</f>
        <v>0</v>
      </c>
      <c r="W68" t="s">
        <v>105</v>
      </c>
      <c r="Y68" t="str">
        <f>IF(R68=0,"",INDEX(criterio!$I$11:$I$22,R68))</f>
        <v>Heladera 0–5 °C.
Abierto en topinera: 7 días, sin superar vencimiento.</v>
      </c>
      <c r="Z68">
        <f t="shared" si="15"/>
        <v>13</v>
      </c>
      <c r="AA68" t="str">
        <f>IF(OR(A68="",COUNT(B68:C68)&lt;&gt;2),"",IF(OR(WEEKDAY(B68,2)&gt;5,COUNTIF(criterio!$B$25:$E$25,B68)&gt;0),"Cambiar día de elaboración",IF(OR(WEEKDAY(C68,2)&gt;5,COUNTIF(criterio!$B$25:$E$25,C68)&gt;0),"Cambiar día de retiro",IF(SUMIF($B$9:$B$128,B68,$AD$9:$AD$128)&gt;criterio!$D$26,"Más de dos recetas",IF(OR(A68="",NOT(ISNUMBER(B68))),"",IF(OR(NOT(ISNUMBER($Q$2)),NOT(ISNUMBER($Q$3)),$Q$2&lt;=0,$Q$3&lt;=0),"Revisar topes de carga",IF(SUMIFS($Z$9:$Z$128,$B$9:$B$128,B68,$F$9:$F$128,"kg")/$Q$2+SUMIFS($Z$9:$Z$128,$B$9:$B$128,B68,$F$9:$F$128,"L")/$Q$3&gt;1.000001,"Repartir carga del día","")))))))</f>
        <v/>
      </c>
      <c r="AB68" t="str">
        <f>IF(COUNTA(A68:E68,H68:I68,K68:N68)=0,"",IF(R68=0,"Elegir producto",IF(COUNT(B68:E68)&lt;&gt;4,"Completar fechas",IF(E68&lt;D68,"Revisar días de uso",IF(C68+criterio!$B$3&gt;D68,"El retiro llega tarde",IF(AND(N68&lt;&gt;"",OR(NOT(ISNUMBER(N68)),N68&lt;0)),"Revisar cantidad hecha",IF(AND(M68&lt;&gt;"",OR(NOT(ISNUMBER(M68)),M68&lt;0)),"Revisar cant. a adelantar",IF(AND(AND(ISBLANK(H68),L68="Adelanto"),NOT(ISNUMBER(AM68))),"Cargar cant. a adelantar",IF(AND(AND(ISBLANK(H68),L68="Adelanto"),I68&lt;&gt;"",OR(NOT(ISNUMBER(I68)),I68&lt;&gt;0)),"Revisar stock del adelanto",IF(AND(ISNUMBER(N68),N68&gt;0,L68&lt;&gt;"Sí",L68&lt;&gt;"Adelanto",N(M68)&lt;=0),"Hecho sin liberar",IF(AND(ISBLANK(H68),L68&lt;&gt;"Adelanto",OR(I68&lt;&gt;"",L68="Sí")),"Falta pedido real",IF(AND(H68&lt;&gt;"",OR(NOT(ISNUMBER(H68)),H68&lt;0)),"Revisar pedido",IF(AND(ISNUMBER(H68),H68=0,N(M68)&gt;0,N(N68)&gt;0,N(I68)=0),"Reasignar sobrante",IF(AND(ISNUMBER(H68),H68=0,OR(N68&gt;0,I68&gt;0)),"Revisar pedido y cantidades",IF(AND(ISNUMBER(H68),H68=0),"Sin pedido",IF(AND(ISNUMBER(H68),ISBLANK(I68)),"Falta anotar stock",IF(AND(I68&lt;&gt;"",OR(NOT(ISNUMBER(I68)),I68&lt;0,AND(ISNUMBER(H68),I68&gt;H68))),"Revisar stock asignado",IF(AND(ISNUMBER(I68),I68&gt;0,NOT(ISNUMBER(K68))),"Falta vencimiento de stock",IF(AND(ISNUMBER(I68),I68&gt;0,K68&lt;E68+criterio!$B$4),"El stock no cubre el uso",IF(AND(ISNUMBER(H68),ISNUMBER(I68),H68=I68,OR(N68="",N68=0)),"Cubierto con stock",IF(B68=criterio!$B$25,"Jornada bloqueada",IF(B68+S68&gt;C68,"No llega al retiro",IF(Q68&lt;E68,"Vence antes del último uso",IF(Q68&lt;E68+criterio!$B$4,"Falta margen de vida útil",IF(AND(ISBLANK(H68),L68&lt;&gt;"Adelanto",N(N68)&gt;0,N(M68)&gt;0),"Adelanto en pausa",IF(NOT(ISNUMBER(AM68)),"Previsión",IF(AND(ISNUMBER(H68),N(M68)&gt;0,N(N68)&gt;ROUND(H68-N(I68),3)),"Reasignar sobrante",IF(AND(ISNUMBER(N68),N68&gt;ROUND(AM68-N(I68),3)),"Revisar excedente",IF(AND(ISNUMBER(H68),L68&lt;&gt;"Sí",NOT(AND(N(M68)&gt;0,J68=0))),"Por confirmar",IF(J68=0,"Hecho",IF(AND(ISNUMBER(N68),N68&gt;0),"Completar","Preparar")))))))))))))))))))))))))))))))</f>
        <v>Previsión</v>
      </c>
      <c r="AC68">
        <f t="shared" si="16"/>
        <v>0</v>
      </c>
      <c r="AD68">
        <f>IF(OR(NOT(ISNUMBER(B68)),A68="",NOT(ISNUMBER(Z68)),Z68&lt;=0),0,IF(COUNTIFS($A$9:A68,A68,$B$9:B68,B68,$Z$9:Z68,"&gt;0")=1,1,0))</f>
        <v>1</v>
      </c>
      <c r="AE68">
        <f t="shared" si="17"/>
        <v>0</v>
      </c>
      <c r="AF68">
        <f t="shared" si="18"/>
        <v>0</v>
      </c>
      <c r="AG68" t="str">
        <f>IF(OR(AF68=0,AK68&lt;=0),"",IF(A68="Tsue","Retiro: ","Tanda: ")&amp;ROUND(AE68,3)&amp;" "&amp;F68&amp;". Acordar "&amp;INT(AE68/AK68)&amp;" o "&amp;ROUNDUP(AE68/AK68,0)&amp;IF(A68="Tsue"," envases de 5 L."," porciones de 500 g."))</f>
        <v/>
      </c>
      <c r="AH68">
        <f>IF(COUNTA(A68:E68,H68:I68,K68:L68,N68)=0,0,IF(OR(NOT(ISNUMBER(B68)),B68&lt;'Por semana'!$C$45,B68&gt;'Por semana'!$J$46+6),1,0))</f>
        <v>0</v>
      </c>
      <c r="AI68">
        <f t="shared" si="20"/>
        <v>13</v>
      </c>
      <c r="AJ68">
        <f t="shared" si="21"/>
        <v>1</v>
      </c>
      <c r="AK68">
        <f>IF(R68=0,0,IFERROR(INDEX(criterio!$J$11:$J$22,R68)+0,0))</f>
        <v>0</v>
      </c>
      <c r="AL68" t="str">
        <f t="shared" si="22"/>
        <v>Previsión</v>
      </c>
      <c r="AM68" t="str">
        <f t="shared" si="23"/>
        <v/>
      </c>
    </row>
    <row r="69" spans="1:39" ht="31" customHeight="1">
      <c r="A69" s="5" t="s">
        <v>40</v>
      </c>
      <c r="B69" s="19">
        <v>46408</v>
      </c>
      <c r="C69" s="19">
        <v>46416</v>
      </c>
      <c r="D69" s="19">
        <v>46419</v>
      </c>
      <c r="E69" s="19">
        <v>46433</v>
      </c>
      <c r="F69" s="4" t="str">
        <f>IF(R69=0,"",INDEX(criterio!$B$11:$B$22,R69))</f>
        <v>L</v>
      </c>
      <c r="G69" s="24">
        <f>IFERROR(IF(INDEX(criterio!$B$31:$B$111,MATCH(W69,criterio!$A$31:$A$111,0))=A69,INDEX(criterio!$C$31:$C$111,MATCH(W69,criterio!$A$31:$A$111,0)),""),"")</f>
        <v>34</v>
      </c>
      <c r="H69" s="26"/>
      <c r="I69" s="26"/>
      <c r="J69" s="28" t="str">
        <f t="shared" si="12"/>
        <v/>
      </c>
      <c r="K69" s="20"/>
      <c r="L69" s="21"/>
      <c r="M69" s="26"/>
      <c r="N69" s="26"/>
      <c r="O69" s="6" t="str">
        <f t="shared" si="13"/>
        <v>Previsión</v>
      </c>
      <c r="P69" s="6" t="str">
        <f>IFERROR(IF(AND(INDEX(criterio!$I$31:$I$111,MATCH(W69,criterio!$A$31:$A$111,0))=1,INDEX(criterio!$B$31:$B$111,MATCH(W69,criterio!$A$31:$A$111,0))=A69,ISNUMBER(B69),B69&gt;=criterio!$B$5,D69&lt;=criterio!$B$6,E69&gt;=criterio!$B$5),"Fuera de la previa del 20/12",""),"")</f>
        <v/>
      </c>
      <c r="Q69" s="22">
        <f t="shared" si="14"/>
        <v>46439</v>
      </c>
      <c r="R69">
        <f>IFERROR(MATCH(A69,criterio!$A$11:$A$22,0),0)</f>
        <v>8</v>
      </c>
      <c r="S69">
        <f>IF(R69=0,"",INDEX(criterio!$E$11:$E$22,R69))</f>
        <v>0</v>
      </c>
      <c r="T69">
        <f>IF(R69=0,"",INDEX(criterio!$C$11:$C$22,R69))</f>
        <v>1</v>
      </c>
      <c r="U69" t="str">
        <f>IF(R69=0,"",INDEX(criterio!$D$11:$D$22,R69))</f>
        <v>mes</v>
      </c>
      <c r="V69">
        <f>IF(AND(ISNUMBER(B69),B69=Turno!$B$3,OR(AL69="Preparar",AL69="Completar")),MAX($V$8:V68)+1,0)</f>
        <v>0</v>
      </c>
      <c r="W69" t="s">
        <v>106</v>
      </c>
      <c r="Y69" t="str">
        <f>IF(R69=0,"",INDEX(criterio!$I$11:$I$22,R69))</f>
        <v>Lugar fresco y seco, 15–30 °C.
Proteger de luz y calor.</v>
      </c>
      <c r="Z69">
        <f t="shared" si="15"/>
        <v>34</v>
      </c>
      <c r="AA69" t="str">
        <f>IF(OR(A69="",COUNT(B69:C69)&lt;&gt;2),"",IF(OR(WEEKDAY(B69,2)&gt;5,COUNTIF(criterio!$B$25:$E$25,B69)&gt;0),"Cambiar día de elaboración",IF(OR(WEEKDAY(C69,2)&gt;5,COUNTIF(criterio!$B$25:$E$25,C69)&gt;0),"Cambiar día de retiro",IF(SUMIF($B$9:$B$128,B69,$AD$9:$AD$128)&gt;criterio!$D$26,"Más de dos recetas",IF(OR(A69="",NOT(ISNUMBER(B69))),"",IF(OR(NOT(ISNUMBER($Q$2)),NOT(ISNUMBER($Q$3)),$Q$2&lt;=0,$Q$3&lt;=0),"Revisar topes de carga",IF(SUMIFS($Z$9:$Z$128,$B$9:$B$128,B69,$F$9:$F$128,"kg")/$Q$2+SUMIFS($Z$9:$Z$128,$B$9:$B$128,B69,$F$9:$F$128,"L")/$Q$3&gt;1.000001,"Repartir carga del día","")))))))</f>
        <v/>
      </c>
      <c r="AB69" t="str">
        <f>IF(COUNTA(A69:E69,H69:I69,K69:N69)=0,"",IF(R69=0,"Elegir producto",IF(COUNT(B69:E69)&lt;&gt;4,"Completar fechas",IF(E69&lt;D69,"Revisar días de uso",IF(C69+criterio!$B$3&gt;D69,"El retiro llega tarde",IF(AND(N69&lt;&gt;"",OR(NOT(ISNUMBER(N69)),N69&lt;0)),"Revisar cantidad hecha",IF(AND(M69&lt;&gt;"",OR(NOT(ISNUMBER(M69)),M69&lt;0)),"Revisar cant. a adelantar",IF(AND(AND(ISBLANK(H69),L69="Adelanto"),NOT(ISNUMBER(AM69))),"Cargar cant. a adelantar",IF(AND(AND(ISBLANK(H69),L69="Adelanto"),I69&lt;&gt;"",OR(NOT(ISNUMBER(I69)),I69&lt;&gt;0)),"Revisar stock del adelanto",IF(AND(ISNUMBER(N69),N69&gt;0,L69&lt;&gt;"Sí",L69&lt;&gt;"Adelanto",N(M69)&lt;=0),"Hecho sin liberar",IF(AND(ISBLANK(H69),L69&lt;&gt;"Adelanto",OR(I69&lt;&gt;"",L69="Sí")),"Falta pedido real",IF(AND(H69&lt;&gt;"",OR(NOT(ISNUMBER(H69)),H69&lt;0)),"Revisar pedido",IF(AND(ISNUMBER(H69),H69=0,N(M69)&gt;0,N(N69)&gt;0,N(I69)=0),"Reasignar sobrante",IF(AND(ISNUMBER(H69),H69=0,OR(N69&gt;0,I69&gt;0)),"Revisar pedido y cantidades",IF(AND(ISNUMBER(H69),H69=0),"Sin pedido",IF(AND(ISNUMBER(H69),ISBLANK(I69)),"Falta anotar stock",IF(AND(I69&lt;&gt;"",OR(NOT(ISNUMBER(I69)),I69&lt;0,AND(ISNUMBER(H69),I69&gt;H69))),"Revisar stock asignado",IF(AND(ISNUMBER(I69),I69&gt;0,NOT(ISNUMBER(K69))),"Falta vencimiento de stock",IF(AND(ISNUMBER(I69),I69&gt;0,K69&lt;E69+criterio!$B$4),"El stock no cubre el uso",IF(AND(ISNUMBER(H69),ISNUMBER(I69),H69=I69,OR(N69="",N69=0)),"Cubierto con stock",IF(B69=criterio!$B$25,"Jornada bloqueada",IF(B69+S69&gt;C69,"No llega al retiro",IF(Q69&lt;E69,"Vence antes del último uso",IF(Q69&lt;E69+criterio!$B$4,"Falta margen de vida útil",IF(AND(ISBLANK(H69),L69&lt;&gt;"Adelanto",N(N69)&gt;0,N(M69)&gt;0),"Adelanto en pausa",IF(NOT(ISNUMBER(AM69)),"Previsión",IF(AND(ISNUMBER(H69),N(M69)&gt;0,N(N69)&gt;ROUND(H69-N(I69),3)),"Reasignar sobrante",IF(AND(ISNUMBER(N69),N69&gt;ROUND(AM69-N(I69),3)),"Revisar excedente",IF(AND(ISNUMBER(H69),L69&lt;&gt;"Sí",NOT(AND(N(M69)&gt;0,J69=0))),"Por confirmar",IF(J69=0,"Hecho",IF(AND(ISNUMBER(N69),N69&gt;0),"Completar","Preparar")))))))))))))))))))))))))))))))</f>
        <v>Previsión</v>
      </c>
      <c r="AC69">
        <f t="shared" si="16"/>
        <v>0</v>
      </c>
      <c r="AD69">
        <f>IF(OR(NOT(ISNUMBER(B69)),A69="",NOT(ISNUMBER(Z69)),Z69&lt;=0),0,IF(COUNTIFS($A$9:A69,A69,$B$9:B69,B69,$Z$9:Z69,"&gt;0")=1,1,0))</f>
        <v>1</v>
      </c>
      <c r="AE69">
        <f t="shared" si="17"/>
        <v>0</v>
      </c>
      <c r="AF69">
        <f t="shared" si="18"/>
        <v>0</v>
      </c>
      <c r="AG69" t="str">
        <f>IF(OR(AF69=0,AK69&lt;=0),"",IF(A69="Tsue","Retiro: ","Tanda: ")&amp;ROUND(AE69,3)&amp;" "&amp;F69&amp;". Acordar "&amp;INT(AE69/AK69)&amp;" o "&amp;ROUNDUP(AE69/AK69,0)&amp;IF(A69="Tsue"," envases de 5 L."," porciones de 500 g."))</f>
        <v/>
      </c>
      <c r="AH69">
        <f>IF(COUNTA(A69:E69,H69:I69,K69:L69,N69)=0,0,IF(OR(NOT(ISNUMBER(B69)),B69&lt;'Por semana'!$C$45,B69&gt;'Por semana'!$J$46+6),1,0))</f>
        <v>0</v>
      </c>
      <c r="AI69">
        <f t="shared" si="20"/>
        <v>34</v>
      </c>
      <c r="AJ69">
        <f t="shared" si="21"/>
        <v>1</v>
      </c>
      <c r="AK69">
        <f>IF(R69=0,0,IFERROR(INDEX(criterio!$J$11:$J$22,R69)+0,0))</f>
        <v>5</v>
      </c>
      <c r="AL69" t="str">
        <f t="shared" si="22"/>
        <v>Previsión</v>
      </c>
      <c r="AM69" t="str">
        <f t="shared" si="23"/>
        <v/>
      </c>
    </row>
    <row r="70" spans="1:39" ht="31" customHeight="1">
      <c r="A70" s="5" t="s">
        <v>65</v>
      </c>
      <c r="B70" s="19">
        <v>46409</v>
      </c>
      <c r="C70" s="19">
        <v>46416</v>
      </c>
      <c r="D70" s="19">
        <v>46419</v>
      </c>
      <c r="E70" s="19">
        <v>46425</v>
      </c>
      <c r="F70" s="4" t="str">
        <f>IF(R70=0,"",INDEX(criterio!$B$11:$B$22,R70))</f>
        <v>kg</v>
      </c>
      <c r="G70" s="23">
        <f>IFERROR(IF(INDEX(criterio!$B$31:$B$111,MATCH(W70,criterio!$A$31:$A$111,0))=A70,INDEX(criterio!$C$31:$C$111,MATCH(W70,criterio!$A$31:$A$111,0)),""),"")</f>
        <v>18</v>
      </c>
      <c r="H70" s="25"/>
      <c r="I70" s="25"/>
      <c r="J70" s="27" t="str">
        <f t="shared" si="12"/>
        <v/>
      </c>
      <c r="K70" s="20"/>
      <c r="L70" s="21"/>
      <c r="M70" s="25"/>
      <c r="N70" s="25"/>
      <c r="O70" s="6" t="str">
        <f t="shared" si="13"/>
        <v>Previsión</v>
      </c>
      <c r="P70" s="6" t="str">
        <f>IFERROR(IF(AND(INDEX(criterio!$I$31:$I$111,MATCH(W70,criterio!$A$31:$A$111,0))=1,INDEX(criterio!$B$31:$B$111,MATCH(W70,criterio!$A$31:$A$111,0))=A70,ISNUMBER(B70),B70&gt;=criterio!$B$5,D70&lt;=criterio!$B$6,E70&gt;=criterio!$B$5),"Fuera de la previa del 20/12",""),"")</f>
        <v/>
      </c>
      <c r="Q70" s="22">
        <f t="shared" si="14"/>
        <v>46439</v>
      </c>
      <c r="R70">
        <f>IFERROR(MATCH(A70,criterio!$A$11:$A$22,0),0)</f>
        <v>7</v>
      </c>
      <c r="S70">
        <f>IF(R70=0,"",INDEX(criterio!$E$11:$E$22,R70))</f>
        <v>1</v>
      </c>
      <c r="T70">
        <f>IF(R70=0,"",INDEX(criterio!$C$11:$C$22,R70))</f>
        <v>30</v>
      </c>
      <c r="U70" t="str">
        <f>IF(R70=0,"",INDEX(criterio!$D$11:$D$22,R70))</f>
        <v>días</v>
      </c>
      <c r="V70">
        <f>IF(AND(ISNUMBER(B70),B70=Turno!$B$3,OR(AL70="Preparar",AL70="Completar")),MAX($V$8:V69)+1,0)</f>
        <v>0</v>
      </c>
      <c r="W70" t="s">
        <v>107</v>
      </c>
      <c r="Y70" t="str">
        <f>IF(R70=0,"",INDEX(criterio!$I$11:$I$22,R70))</f>
        <v>Heladera 0–5 °C. Marinar 24 h.
Abierto: 7 días, sin superar vencimiento.</v>
      </c>
      <c r="Z70">
        <f t="shared" si="15"/>
        <v>18</v>
      </c>
      <c r="AA70" t="str">
        <f>IF(OR(A70="",COUNT(B70:C70)&lt;&gt;2),"",IF(OR(WEEKDAY(B70,2)&gt;5,COUNTIF(criterio!$B$25:$E$25,B70)&gt;0),"Cambiar día de elaboración",IF(OR(WEEKDAY(C70,2)&gt;5,COUNTIF(criterio!$B$25:$E$25,C70)&gt;0),"Cambiar día de retiro",IF(SUMIF($B$9:$B$128,B70,$AD$9:$AD$128)&gt;criterio!$D$26,"Más de dos recetas",IF(OR(A70="",NOT(ISNUMBER(B70))),"",IF(OR(NOT(ISNUMBER($Q$2)),NOT(ISNUMBER($Q$3)),$Q$2&lt;=0,$Q$3&lt;=0),"Revisar topes de carga",IF(SUMIFS($Z$9:$Z$128,$B$9:$B$128,B70,$F$9:$F$128,"kg")/$Q$2+SUMIFS($Z$9:$Z$128,$B$9:$B$128,B70,$F$9:$F$128,"L")/$Q$3&gt;1.000001,"Repartir carga del día","")))))))</f>
        <v/>
      </c>
      <c r="AB70" t="str">
        <f>IF(COUNTA(A70:E70,H70:I70,K70:N70)=0,"",IF(R70=0,"Elegir producto",IF(COUNT(B70:E70)&lt;&gt;4,"Completar fechas",IF(E70&lt;D70,"Revisar días de uso",IF(C70+criterio!$B$3&gt;D70,"El retiro llega tarde",IF(AND(N70&lt;&gt;"",OR(NOT(ISNUMBER(N70)),N70&lt;0)),"Revisar cantidad hecha",IF(AND(M70&lt;&gt;"",OR(NOT(ISNUMBER(M70)),M70&lt;0)),"Revisar cant. a adelantar",IF(AND(AND(ISBLANK(H70),L70="Adelanto"),NOT(ISNUMBER(AM70))),"Cargar cant. a adelantar",IF(AND(AND(ISBLANK(H70),L70="Adelanto"),I70&lt;&gt;"",OR(NOT(ISNUMBER(I70)),I70&lt;&gt;0)),"Revisar stock del adelanto",IF(AND(ISNUMBER(N70),N70&gt;0,L70&lt;&gt;"Sí",L70&lt;&gt;"Adelanto",N(M70)&lt;=0),"Hecho sin liberar",IF(AND(ISBLANK(H70),L70&lt;&gt;"Adelanto",OR(I70&lt;&gt;"",L70="Sí")),"Falta pedido real",IF(AND(H70&lt;&gt;"",OR(NOT(ISNUMBER(H70)),H70&lt;0)),"Revisar pedido",IF(AND(ISNUMBER(H70),H70=0,N(M70)&gt;0,N(N70)&gt;0,N(I70)=0),"Reasignar sobrante",IF(AND(ISNUMBER(H70),H70=0,OR(N70&gt;0,I70&gt;0)),"Revisar pedido y cantidades",IF(AND(ISNUMBER(H70),H70=0),"Sin pedido",IF(AND(ISNUMBER(H70),ISBLANK(I70)),"Falta anotar stock",IF(AND(I70&lt;&gt;"",OR(NOT(ISNUMBER(I70)),I70&lt;0,AND(ISNUMBER(H70),I70&gt;H70))),"Revisar stock asignado",IF(AND(ISNUMBER(I70),I70&gt;0,NOT(ISNUMBER(K70))),"Falta vencimiento de stock",IF(AND(ISNUMBER(I70),I70&gt;0,K70&lt;E70+criterio!$B$4),"El stock no cubre el uso",IF(AND(ISNUMBER(H70),ISNUMBER(I70),H70=I70,OR(N70="",N70=0)),"Cubierto con stock",IF(B70=criterio!$B$25,"Jornada bloqueada",IF(B70+S70&gt;C70,"No llega al retiro",IF(Q70&lt;E70,"Vence antes del último uso",IF(Q70&lt;E70+criterio!$B$4,"Falta margen de vida útil",IF(AND(ISBLANK(H70),L70&lt;&gt;"Adelanto",N(N70)&gt;0,N(M70)&gt;0),"Adelanto en pausa",IF(NOT(ISNUMBER(AM70)),"Previsión",IF(AND(ISNUMBER(H70),N(M70)&gt;0,N(N70)&gt;ROUND(H70-N(I70),3)),"Reasignar sobrante",IF(AND(ISNUMBER(N70),N70&gt;ROUND(AM70-N(I70),3)),"Revisar excedente",IF(AND(ISNUMBER(H70),L70&lt;&gt;"Sí",NOT(AND(N(M70)&gt;0,J70=0))),"Por confirmar",IF(J70=0,"Hecho",IF(AND(ISNUMBER(N70),N70&gt;0),"Completar","Preparar")))))))))))))))))))))))))))))))</f>
        <v>Previsión</v>
      </c>
      <c r="AC70">
        <f t="shared" si="16"/>
        <v>0</v>
      </c>
      <c r="AD70">
        <f>IF(OR(NOT(ISNUMBER(B70)),A70="",NOT(ISNUMBER(Z70)),Z70&lt;=0),0,IF(COUNTIFS($A$9:A70,A70,$B$9:B70,B70,$Z$9:Z70,"&gt;0")=1,1,0))</f>
        <v>1</v>
      </c>
      <c r="AE70">
        <f t="shared" si="17"/>
        <v>0</v>
      </c>
      <c r="AF70">
        <f t="shared" si="18"/>
        <v>0</v>
      </c>
      <c r="AG70" t="str">
        <f>IF(OR(AF70=0,AK70&lt;=0),"",IF(A70="Tsue","Retiro: ","Tanda: ")&amp;ROUND(AE70,3)&amp;" "&amp;F70&amp;". Acordar "&amp;INT(AE70/AK70)&amp;" o "&amp;ROUNDUP(AE70/AK70,0)&amp;IF(A70="Tsue"," envases de 5 L."," porciones de 500 g."))</f>
        <v/>
      </c>
      <c r="AH70">
        <f>IF(COUNTA(A70:E70,H70:I70,K70:L70,N70)=0,0,IF(OR(NOT(ISNUMBER(B70)),B70&lt;'Por semana'!$C$45,B70&gt;'Por semana'!$J$46+6),1,0))</f>
        <v>0</v>
      </c>
      <c r="AI70">
        <f t="shared" si="20"/>
        <v>18</v>
      </c>
      <c r="AJ70">
        <f t="shared" si="21"/>
        <v>1</v>
      </c>
      <c r="AK70">
        <f>IF(R70=0,0,IFERROR(INDEX(criterio!$J$11:$J$22,R70)+0,0))</f>
        <v>0</v>
      </c>
      <c r="AL70" t="str">
        <f t="shared" si="22"/>
        <v>Previsión</v>
      </c>
      <c r="AM70" t="str">
        <f t="shared" si="23"/>
        <v/>
      </c>
    </row>
    <row r="71" spans="1:39" ht="31" customHeight="1">
      <c r="A71" s="5" t="s">
        <v>59</v>
      </c>
      <c r="B71" s="19">
        <v>46412</v>
      </c>
      <c r="C71" s="19">
        <v>46412</v>
      </c>
      <c r="D71" s="19">
        <v>46413</v>
      </c>
      <c r="E71" s="19">
        <v>46418</v>
      </c>
      <c r="F71" s="4" t="str">
        <f>IF(R71=0,"",INDEX(criterio!$B$11:$B$22,R71))</f>
        <v>kg</v>
      </c>
      <c r="G71" s="23">
        <f>IFERROR(IF(INDEX(criterio!$B$31:$B$111,MATCH(W71,criterio!$A$31:$A$111,0))=A71,INDEX(criterio!$C$31:$C$111,MATCH(W71,criterio!$A$31:$A$111,0)),""),"")</f>
        <v>3</v>
      </c>
      <c r="H71" s="25"/>
      <c r="I71" s="25"/>
      <c r="J71" s="27" t="str">
        <f t="shared" si="12"/>
        <v/>
      </c>
      <c r="K71" s="20"/>
      <c r="L71" s="21"/>
      <c r="M71" s="25"/>
      <c r="N71" s="25"/>
      <c r="O71" s="6" t="str">
        <f t="shared" si="13"/>
        <v>Previsión</v>
      </c>
      <c r="P71" s="6" t="str">
        <f>IFERROR(IF(AND(INDEX(criterio!$I$31:$I$111,MATCH(W71,criterio!$A$31:$A$111,0))=1,INDEX(criterio!$B$31:$B$111,MATCH(W71,criterio!$A$31:$A$111,0))=A71,ISNUMBER(B71),B71&gt;=criterio!$B$5,D71&lt;=criterio!$B$6,E71&gt;=criterio!$B$5),"Fuera de la previa del 20/12",""),"")</f>
        <v/>
      </c>
      <c r="Q71" s="22">
        <f t="shared" si="14"/>
        <v>46422</v>
      </c>
      <c r="R71">
        <f>IFERROR(MATCH(A71,criterio!$A$11:$A$22,0),0)</f>
        <v>12</v>
      </c>
      <c r="S71">
        <f>IF(R71=0,"",INDEX(criterio!$E$11:$E$22,R71))</f>
        <v>0</v>
      </c>
      <c r="T71">
        <f>IF(R71=0,"",INDEX(criterio!$C$11:$C$22,R71))</f>
        <v>10</v>
      </c>
      <c r="U71" t="str">
        <f>IF(R71=0,"",INDEX(criterio!$D$11:$D$22,R71))</f>
        <v>días</v>
      </c>
      <c r="V71">
        <f>IF(AND(ISNUMBER(B71),B71=Turno!$B$3,OR(AL71="Preparar",AL71="Completar")),MAX($V$8:V70)+1,0)</f>
        <v>0</v>
      </c>
      <c r="W71" t="s">
        <v>108</v>
      </c>
      <c r="Y71" t="str">
        <f>IF(R71=0,"",INDEX(criterio!$I$11:$I$22,R71))</f>
        <v>Heladera 0–5 °C.</v>
      </c>
      <c r="Z71">
        <f t="shared" si="15"/>
        <v>3</v>
      </c>
      <c r="AA71" t="str">
        <f>IF(OR(A71="",COUNT(B71:C71)&lt;&gt;2),"",IF(OR(WEEKDAY(B71,2)&gt;5,COUNTIF(criterio!$B$25:$E$25,B71)&gt;0),"Cambiar día de elaboración",IF(OR(WEEKDAY(C71,2)&gt;5,COUNTIF(criterio!$B$25:$E$25,C71)&gt;0),"Cambiar día de retiro",IF(SUMIF($B$9:$B$128,B71,$AD$9:$AD$128)&gt;criterio!$D$26,"Más de dos recetas",IF(OR(A71="",NOT(ISNUMBER(B71))),"",IF(OR(NOT(ISNUMBER($Q$2)),NOT(ISNUMBER($Q$3)),$Q$2&lt;=0,$Q$3&lt;=0),"Revisar topes de carga",IF(SUMIFS($Z$9:$Z$128,$B$9:$B$128,B71,$F$9:$F$128,"kg")/$Q$2+SUMIFS($Z$9:$Z$128,$B$9:$B$128,B71,$F$9:$F$128,"L")/$Q$3&gt;1.000001,"Repartir carga del día","")))))))</f>
        <v/>
      </c>
      <c r="AB71" t="str">
        <f>IF(COUNTA(A71:E71,H71:I71,K71:N71)=0,"",IF(R71=0,"Elegir producto",IF(COUNT(B71:E71)&lt;&gt;4,"Completar fechas",IF(E71&lt;D71,"Revisar días de uso",IF(C71+criterio!$B$3&gt;D71,"El retiro llega tarde",IF(AND(N71&lt;&gt;"",OR(NOT(ISNUMBER(N71)),N71&lt;0)),"Revisar cantidad hecha",IF(AND(M71&lt;&gt;"",OR(NOT(ISNUMBER(M71)),M71&lt;0)),"Revisar cant. a adelantar",IF(AND(AND(ISBLANK(H71),L71="Adelanto"),NOT(ISNUMBER(AM71))),"Cargar cant. a adelantar",IF(AND(AND(ISBLANK(H71),L71="Adelanto"),I71&lt;&gt;"",OR(NOT(ISNUMBER(I71)),I71&lt;&gt;0)),"Revisar stock del adelanto",IF(AND(ISNUMBER(N71),N71&gt;0,L71&lt;&gt;"Sí",L71&lt;&gt;"Adelanto",N(M71)&lt;=0),"Hecho sin liberar",IF(AND(ISBLANK(H71),L71&lt;&gt;"Adelanto",OR(I71&lt;&gt;"",L71="Sí")),"Falta pedido real",IF(AND(H71&lt;&gt;"",OR(NOT(ISNUMBER(H71)),H71&lt;0)),"Revisar pedido",IF(AND(ISNUMBER(H71),H71=0,N(M71)&gt;0,N(N71)&gt;0,N(I71)=0),"Reasignar sobrante",IF(AND(ISNUMBER(H71),H71=0,OR(N71&gt;0,I71&gt;0)),"Revisar pedido y cantidades",IF(AND(ISNUMBER(H71),H71=0),"Sin pedido",IF(AND(ISNUMBER(H71),ISBLANK(I71)),"Falta anotar stock",IF(AND(I71&lt;&gt;"",OR(NOT(ISNUMBER(I71)),I71&lt;0,AND(ISNUMBER(H71),I71&gt;H71))),"Revisar stock asignado",IF(AND(ISNUMBER(I71),I71&gt;0,NOT(ISNUMBER(K71))),"Falta vencimiento de stock",IF(AND(ISNUMBER(I71),I71&gt;0,K71&lt;E71+criterio!$B$4),"El stock no cubre el uso",IF(AND(ISNUMBER(H71),ISNUMBER(I71),H71=I71,OR(N71="",N71=0)),"Cubierto con stock",IF(B71=criterio!$B$25,"Jornada bloqueada",IF(B71+S71&gt;C71,"No llega al retiro",IF(Q71&lt;E71,"Vence antes del último uso",IF(Q71&lt;E71+criterio!$B$4,"Falta margen de vida útil",IF(AND(ISBLANK(H71),L71&lt;&gt;"Adelanto",N(N71)&gt;0,N(M71)&gt;0),"Adelanto en pausa",IF(NOT(ISNUMBER(AM71)),"Previsión",IF(AND(ISNUMBER(H71),N(M71)&gt;0,N(N71)&gt;ROUND(H71-N(I71),3)),"Reasignar sobrante",IF(AND(ISNUMBER(N71),N71&gt;ROUND(AM71-N(I71),3)),"Revisar excedente",IF(AND(ISNUMBER(H71),L71&lt;&gt;"Sí",NOT(AND(N(M71)&gt;0,J71=0))),"Por confirmar",IF(J71=0,"Hecho",IF(AND(ISNUMBER(N71),N71&gt;0),"Completar","Preparar")))))))))))))))))))))))))))))))</f>
        <v>Previsión</v>
      </c>
      <c r="AC71">
        <f t="shared" si="16"/>
        <v>0</v>
      </c>
      <c r="AD71">
        <f>IF(OR(NOT(ISNUMBER(B71)),A71="",NOT(ISNUMBER(Z71)),Z71&lt;=0),0,IF(COUNTIFS($A$9:A71,A71,$B$9:B71,B71,$Z$9:Z71,"&gt;0")=1,1,0))</f>
        <v>1</v>
      </c>
      <c r="AE71">
        <f t="shared" si="17"/>
        <v>3</v>
      </c>
      <c r="AF71">
        <f t="shared" si="18"/>
        <v>0</v>
      </c>
      <c r="AG71" t="str">
        <f>IF(OR(AF71=0,AK71&lt;=0),"",IF(A71="Tsue","Retiro: ","Tanda: ")&amp;ROUND(AE71,3)&amp;" "&amp;F71&amp;". Acordar "&amp;INT(AE71/AK71)&amp;" o "&amp;ROUNDUP(AE71/AK71,0)&amp;IF(A71="Tsue"," envases de 5 L."," porciones de 500 g."))</f>
        <v/>
      </c>
      <c r="AH71">
        <f>IF(COUNTA(A71:E71,H71:I71,K71:L71,N71)=0,0,IF(OR(NOT(ISNUMBER(B71)),B71&lt;'Por semana'!$C$45,B71&gt;'Por semana'!$J$46+6),1,0))</f>
        <v>0</v>
      </c>
      <c r="AI71">
        <f t="shared" si="20"/>
        <v>3</v>
      </c>
      <c r="AJ71">
        <f t="shared" si="21"/>
        <v>1</v>
      </c>
      <c r="AK71">
        <f>IF(R71=0,0,IFERROR(INDEX(criterio!$J$11:$J$22,R71)+0,0))</f>
        <v>0.5</v>
      </c>
      <c r="AL71" t="str">
        <f t="shared" si="22"/>
        <v>Previsión</v>
      </c>
      <c r="AM71" t="str">
        <f t="shared" si="23"/>
        <v/>
      </c>
    </row>
    <row r="72" spans="1:39" ht="31" customHeight="1">
      <c r="A72" s="5" t="s">
        <v>40</v>
      </c>
      <c r="B72" s="19">
        <v>46412</v>
      </c>
      <c r="C72" s="19">
        <v>46416</v>
      </c>
      <c r="D72" s="19">
        <v>46419</v>
      </c>
      <c r="E72" s="19">
        <v>46433</v>
      </c>
      <c r="F72" s="4" t="str">
        <f>IF(R72=0,"",INDEX(criterio!$B$11:$B$22,R72))</f>
        <v>L</v>
      </c>
      <c r="G72" s="24">
        <f>IFERROR(IF(INDEX(criterio!$B$31:$B$111,MATCH(W72,criterio!$A$31:$A$111,0))=A72,INDEX(criterio!$C$31:$C$111,MATCH(W72,criterio!$A$31:$A$111,0)),""),"")</f>
        <v>33</v>
      </c>
      <c r="H72" s="26"/>
      <c r="I72" s="26"/>
      <c r="J72" s="28" t="str">
        <f t="shared" si="12"/>
        <v/>
      </c>
      <c r="K72" s="20"/>
      <c r="L72" s="21"/>
      <c r="M72" s="26"/>
      <c r="N72" s="26"/>
      <c r="O72" s="6" t="str">
        <f t="shared" si="13"/>
        <v>Previsión</v>
      </c>
      <c r="P72" s="6" t="str">
        <f>IFERROR(IF(AND(INDEX(criterio!$I$31:$I$111,MATCH(W72,criterio!$A$31:$A$111,0))=1,INDEX(criterio!$B$31:$B$111,MATCH(W72,criterio!$A$31:$A$111,0))=A72,ISNUMBER(B72),B72&gt;=criterio!$B$5,D72&lt;=criterio!$B$6,E72&gt;=criterio!$B$5),"Fuera de la previa del 20/12",""),"")</f>
        <v/>
      </c>
      <c r="Q72" s="22">
        <f t="shared" si="14"/>
        <v>46443</v>
      </c>
      <c r="R72">
        <f>IFERROR(MATCH(A72,criterio!$A$11:$A$22,0),0)</f>
        <v>8</v>
      </c>
      <c r="S72">
        <f>IF(R72=0,"",INDEX(criterio!$E$11:$E$22,R72))</f>
        <v>0</v>
      </c>
      <c r="T72">
        <f>IF(R72=0,"",INDEX(criterio!$C$11:$C$22,R72))</f>
        <v>1</v>
      </c>
      <c r="U72" t="str">
        <f>IF(R72=0,"",INDEX(criterio!$D$11:$D$22,R72))</f>
        <v>mes</v>
      </c>
      <c r="V72">
        <f>IF(AND(ISNUMBER(B72),B72=Turno!$B$3,OR(AL72="Preparar",AL72="Completar")),MAX($V$8:V71)+1,0)</f>
        <v>0</v>
      </c>
      <c r="W72" t="s">
        <v>109</v>
      </c>
      <c r="Y72" t="str">
        <f>IF(R72=0,"",INDEX(criterio!$I$11:$I$22,R72))</f>
        <v>Lugar fresco y seco, 15–30 °C.
Proteger de luz y calor.</v>
      </c>
      <c r="Z72">
        <f t="shared" si="15"/>
        <v>33</v>
      </c>
      <c r="AA72" t="str">
        <f>IF(OR(A72="",COUNT(B72:C72)&lt;&gt;2),"",IF(OR(WEEKDAY(B72,2)&gt;5,COUNTIF(criterio!$B$25:$E$25,B72)&gt;0),"Cambiar día de elaboración",IF(OR(WEEKDAY(C72,2)&gt;5,COUNTIF(criterio!$B$25:$E$25,C72)&gt;0),"Cambiar día de retiro",IF(SUMIF($B$9:$B$128,B72,$AD$9:$AD$128)&gt;criterio!$D$26,"Más de dos recetas",IF(OR(A72="",NOT(ISNUMBER(B72))),"",IF(OR(NOT(ISNUMBER($Q$2)),NOT(ISNUMBER($Q$3)),$Q$2&lt;=0,$Q$3&lt;=0),"Revisar topes de carga",IF(SUMIFS($Z$9:$Z$128,$B$9:$B$128,B72,$F$9:$F$128,"kg")/$Q$2+SUMIFS($Z$9:$Z$128,$B$9:$B$128,B72,$F$9:$F$128,"L")/$Q$3&gt;1.000001,"Repartir carga del día","")))))))</f>
        <v/>
      </c>
      <c r="AB72" t="str">
        <f>IF(COUNTA(A72:E72,H72:I72,K72:N72)=0,"",IF(R72=0,"Elegir producto",IF(COUNT(B72:E72)&lt;&gt;4,"Completar fechas",IF(E72&lt;D72,"Revisar días de uso",IF(C72+criterio!$B$3&gt;D72,"El retiro llega tarde",IF(AND(N72&lt;&gt;"",OR(NOT(ISNUMBER(N72)),N72&lt;0)),"Revisar cantidad hecha",IF(AND(M72&lt;&gt;"",OR(NOT(ISNUMBER(M72)),M72&lt;0)),"Revisar cant. a adelantar",IF(AND(AND(ISBLANK(H72),L72="Adelanto"),NOT(ISNUMBER(AM72))),"Cargar cant. a adelantar",IF(AND(AND(ISBLANK(H72),L72="Adelanto"),I72&lt;&gt;"",OR(NOT(ISNUMBER(I72)),I72&lt;&gt;0)),"Revisar stock del adelanto",IF(AND(ISNUMBER(N72),N72&gt;0,L72&lt;&gt;"Sí",L72&lt;&gt;"Adelanto",N(M72)&lt;=0),"Hecho sin liberar",IF(AND(ISBLANK(H72),L72&lt;&gt;"Adelanto",OR(I72&lt;&gt;"",L72="Sí")),"Falta pedido real",IF(AND(H72&lt;&gt;"",OR(NOT(ISNUMBER(H72)),H72&lt;0)),"Revisar pedido",IF(AND(ISNUMBER(H72),H72=0,N(M72)&gt;0,N(N72)&gt;0,N(I72)=0),"Reasignar sobrante",IF(AND(ISNUMBER(H72),H72=0,OR(N72&gt;0,I72&gt;0)),"Revisar pedido y cantidades",IF(AND(ISNUMBER(H72),H72=0),"Sin pedido",IF(AND(ISNUMBER(H72),ISBLANK(I72)),"Falta anotar stock",IF(AND(I72&lt;&gt;"",OR(NOT(ISNUMBER(I72)),I72&lt;0,AND(ISNUMBER(H72),I72&gt;H72))),"Revisar stock asignado",IF(AND(ISNUMBER(I72),I72&gt;0,NOT(ISNUMBER(K72))),"Falta vencimiento de stock",IF(AND(ISNUMBER(I72),I72&gt;0,K72&lt;E72+criterio!$B$4),"El stock no cubre el uso",IF(AND(ISNUMBER(H72),ISNUMBER(I72),H72=I72,OR(N72="",N72=0)),"Cubierto con stock",IF(B72=criterio!$B$25,"Jornada bloqueada",IF(B72+S72&gt;C72,"No llega al retiro",IF(Q72&lt;E72,"Vence antes del último uso",IF(Q72&lt;E72+criterio!$B$4,"Falta margen de vida útil",IF(AND(ISBLANK(H72),L72&lt;&gt;"Adelanto",N(N72)&gt;0,N(M72)&gt;0),"Adelanto en pausa",IF(NOT(ISNUMBER(AM72)),"Previsión",IF(AND(ISNUMBER(H72),N(M72)&gt;0,N(N72)&gt;ROUND(H72-N(I72),3)),"Reasignar sobrante",IF(AND(ISNUMBER(N72),N72&gt;ROUND(AM72-N(I72),3)),"Revisar excedente",IF(AND(ISNUMBER(H72),L72&lt;&gt;"Sí",NOT(AND(N(M72)&gt;0,J72=0))),"Por confirmar",IF(J72=0,"Hecho",IF(AND(ISNUMBER(N72),N72&gt;0),"Completar","Preparar")))))))))))))))))))))))))))))))</f>
        <v>Previsión</v>
      </c>
      <c r="AC72">
        <f t="shared" si="16"/>
        <v>0</v>
      </c>
      <c r="AD72">
        <f>IF(OR(NOT(ISNUMBER(B72)),A72="",NOT(ISNUMBER(Z72)),Z72&lt;=0),0,IF(COUNTIFS($A$9:A72,A72,$B$9:B72,B72,$Z$9:Z72,"&gt;0")=1,1,0))</f>
        <v>1</v>
      </c>
      <c r="AE72">
        <f t="shared" si="17"/>
        <v>0</v>
      </c>
      <c r="AF72">
        <f t="shared" si="18"/>
        <v>0</v>
      </c>
      <c r="AG72" t="str">
        <f>IF(OR(AF72=0,AK72&lt;=0),"",IF(A72="Tsue","Retiro: ","Tanda: ")&amp;ROUND(AE72,3)&amp;" "&amp;F72&amp;". Acordar "&amp;INT(AE72/AK72)&amp;" o "&amp;ROUNDUP(AE72/AK72,0)&amp;IF(A72="Tsue"," envases de 5 L."," porciones de 500 g."))</f>
        <v/>
      </c>
      <c r="AH72">
        <f>IF(COUNTA(A72:E72,H72:I72,K72:L72,N72)=0,0,IF(OR(NOT(ISNUMBER(B72)),B72&lt;'Por semana'!$C$45,B72&gt;'Por semana'!$J$46+6),1,0))</f>
        <v>0</v>
      </c>
      <c r="AI72">
        <f t="shared" si="20"/>
        <v>33</v>
      </c>
      <c r="AJ72">
        <f t="shared" si="21"/>
        <v>1</v>
      </c>
      <c r="AK72">
        <f>IF(R72=0,0,IFERROR(INDEX(criterio!$J$11:$J$22,R72)+0,0))</f>
        <v>5</v>
      </c>
      <c r="AL72" t="str">
        <f t="shared" si="22"/>
        <v>Previsión</v>
      </c>
      <c r="AM72" t="str">
        <f t="shared" si="23"/>
        <v/>
      </c>
    </row>
    <row r="73" spans="1:39" ht="31" customHeight="1">
      <c r="A73" s="5" t="s">
        <v>49</v>
      </c>
      <c r="B73" s="19">
        <v>46413</v>
      </c>
      <c r="C73" s="19">
        <v>46416</v>
      </c>
      <c r="D73" s="19">
        <v>46419</v>
      </c>
      <c r="E73" s="19">
        <v>46433</v>
      </c>
      <c r="F73" s="4" t="str">
        <f>IF(R73=0,"",INDEX(criterio!$B$11:$B$22,R73))</f>
        <v>L</v>
      </c>
      <c r="G73" s="24">
        <f>IFERROR(IF(INDEX(criterio!$B$31:$B$111,MATCH(W73,criterio!$A$31:$A$111,0))=A73,INDEX(criterio!$C$31:$C$111,MATCH(W73,criterio!$A$31:$A$111,0)),""),"")</f>
        <v>15</v>
      </c>
      <c r="H73" s="26"/>
      <c r="I73" s="26"/>
      <c r="J73" s="28" t="str">
        <f t="shared" ref="J73:J104" si="24">IF(AND(ISNUMBER(AM73),OR(ISBLANK(H73),ISNUMBER(I73))),MAX(0,ROUND(AM73-IF(ISBLANK(H73),0,N(I73))-N(N73),3)),"")</f>
        <v/>
      </c>
      <c r="K73" s="20"/>
      <c r="L73" s="21"/>
      <c r="M73" s="26"/>
      <c r="N73" s="26"/>
      <c r="O73" s="6" t="str">
        <f t="shared" ref="O73:O104" si="25">IF(AL73="Reasignar sobrante","Sobran "&amp;ROUND(N73-MAX(0,H73-N(I73)),3)&amp;" "&amp;F73&amp;" para stock",IF(AND(ISNUMBER(H73),L73="Adelanto",AL73="Por confirmar"),IF(J73&gt;0,IF(J73=1,"Falta ","Faltan ")&amp;ROUND(J73,3)&amp;" "&amp;F73&amp;". Elegí «Sí»"&amp;CHAR(10)&amp;"en «¿Mandar a preparar?».","No falta producir."),IF(AL73="Acordar envases",AL73&amp;" ("&amp;INT(AE73/AK73)&amp;" o "&amp;ROUNDUP(AE73/AK73,0)&amp;")",AL73)&amp;IF(P73="","",CHAR(10)&amp;"Adelanto movido al pico")))</f>
        <v>Previsión</v>
      </c>
      <c r="P73" s="6" t="str">
        <f>IFERROR(IF(AND(INDEX(criterio!$I$31:$I$111,MATCH(W73,criterio!$A$31:$A$111,0))=1,INDEX(criterio!$B$31:$B$111,MATCH(W73,criterio!$A$31:$A$111,0))=A73,ISNUMBER(B73),B73&gt;=criterio!$B$5,D73&lt;=criterio!$B$6,E73&gt;=criterio!$B$5),"Fuera de la previa del 20/12",""),"")</f>
        <v/>
      </c>
      <c r="Q73" s="22">
        <f t="shared" ref="Q73:Q104" si="26">IF(AND(R73&gt;0,ISNUMBER(B73)),IF(U73="mes",EDATE(B73,T73),B73+T73),"")</f>
        <v>46444</v>
      </c>
      <c r="R73">
        <f>IFERROR(MATCH(A73,criterio!$A$11:$A$22,0),0)</f>
        <v>9</v>
      </c>
      <c r="S73">
        <f>IF(R73=0,"",INDEX(criterio!$E$11:$E$22,R73))</f>
        <v>0</v>
      </c>
      <c r="T73">
        <f>IF(R73=0,"",INDEX(criterio!$C$11:$C$22,R73))</f>
        <v>1</v>
      </c>
      <c r="U73" t="str">
        <f>IF(R73=0,"",INDEX(criterio!$D$11:$D$22,R73))</f>
        <v>mes</v>
      </c>
      <c r="V73">
        <f>IF(AND(ISNUMBER(B73),B73=Turno!$B$3,OR(AL73="Preparar",AL73="Completar")),MAX($V$8:V72)+1,0)</f>
        <v>0</v>
      </c>
      <c r="W73" t="s">
        <v>110</v>
      </c>
      <c r="Y73" t="str">
        <f>IF(R73=0,"",INDEX(criterio!$I$11:$I$22,R73))</f>
        <v>Temperatura ambiente.</v>
      </c>
      <c r="Z73">
        <f t="shared" ref="Z73:Z104" si="27">IF(AC73=1,0,IF(A73="","",IF(ISNUMBER(H73),MAX(IF(ISNUMBER(N73),N73,0),H73-IF(ISNUMBER(I73),I73,0),0),IF(ISNUMBER(AM73),MAX(AM73,N(N73)),IF(ISNUMBER(G73),MAX(G73,N(N73)),N(N73))))))</f>
        <v>15</v>
      </c>
      <c r="AA73" t="str">
        <f>IF(OR(A73="",COUNT(B73:C73)&lt;&gt;2),"",IF(OR(WEEKDAY(B73,2)&gt;5,COUNTIF(criterio!$B$25:$E$25,B73)&gt;0),"Cambiar día de elaboración",IF(OR(WEEKDAY(C73,2)&gt;5,COUNTIF(criterio!$B$25:$E$25,C73)&gt;0),"Cambiar día de retiro",IF(SUMIF($B$9:$B$128,B73,$AD$9:$AD$128)&gt;criterio!$D$26,"Más de dos recetas",IF(OR(A73="",NOT(ISNUMBER(B73))),"",IF(OR(NOT(ISNUMBER($Q$2)),NOT(ISNUMBER($Q$3)),$Q$2&lt;=0,$Q$3&lt;=0),"Revisar topes de carga",IF(SUMIFS($Z$9:$Z$128,$B$9:$B$128,B73,$F$9:$F$128,"kg")/$Q$2+SUMIFS($Z$9:$Z$128,$B$9:$B$128,B73,$F$9:$F$128,"L")/$Q$3&gt;1.000001,"Repartir carga del día","")))))))</f>
        <v/>
      </c>
      <c r="AB73" t="str">
        <f>IF(COUNTA(A73:E73,H73:I73,K73:N73)=0,"",IF(R73=0,"Elegir producto",IF(COUNT(B73:E73)&lt;&gt;4,"Completar fechas",IF(E73&lt;D73,"Revisar días de uso",IF(C73+criterio!$B$3&gt;D73,"El retiro llega tarde",IF(AND(N73&lt;&gt;"",OR(NOT(ISNUMBER(N73)),N73&lt;0)),"Revisar cantidad hecha",IF(AND(M73&lt;&gt;"",OR(NOT(ISNUMBER(M73)),M73&lt;0)),"Revisar cant. a adelantar",IF(AND(AND(ISBLANK(H73),L73="Adelanto"),NOT(ISNUMBER(AM73))),"Cargar cant. a adelantar",IF(AND(AND(ISBLANK(H73),L73="Adelanto"),I73&lt;&gt;"",OR(NOT(ISNUMBER(I73)),I73&lt;&gt;0)),"Revisar stock del adelanto",IF(AND(ISNUMBER(N73),N73&gt;0,L73&lt;&gt;"Sí",L73&lt;&gt;"Adelanto",N(M73)&lt;=0),"Hecho sin liberar",IF(AND(ISBLANK(H73),L73&lt;&gt;"Adelanto",OR(I73&lt;&gt;"",L73="Sí")),"Falta pedido real",IF(AND(H73&lt;&gt;"",OR(NOT(ISNUMBER(H73)),H73&lt;0)),"Revisar pedido",IF(AND(ISNUMBER(H73),H73=0,N(M73)&gt;0,N(N73)&gt;0,N(I73)=0),"Reasignar sobrante",IF(AND(ISNUMBER(H73),H73=0,OR(N73&gt;0,I73&gt;0)),"Revisar pedido y cantidades",IF(AND(ISNUMBER(H73),H73=0),"Sin pedido",IF(AND(ISNUMBER(H73),ISBLANK(I73)),"Falta anotar stock",IF(AND(I73&lt;&gt;"",OR(NOT(ISNUMBER(I73)),I73&lt;0,AND(ISNUMBER(H73),I73&gt;H73))),"Revisar stock asignado",IF(AND(ISNUMBER(I73),I73&gt;0,NOT(ISNUMBER(K73))),"Falta vencimiento de stock",IF(AND(ISNUMBER(I73),I73&gt;0,K73&lt;E73+criterio!$B$4),"El stock no cubre el uso",IF(AND(ISNUMBER(H73),ISNUMBER(I73),H73=I73,OR(N73="",N73=0)),"Cubierto con stock",IF(B73=criterio!$B$25,"Jornada bloqueada",IF(B73+S73&gt;C73,"No llega al retiro",IF(Q73&lt;E73,"Vence antes del último uso",IF(Q73&lt;E73+criterio!$B$4,"Falta margen de vida útil",IF(AND(ISBLANK(H73),L73&lt;&gt;"Adelanto",N(N73)&gt;0,N(M73)&gt;0),"Adelanto en pausa",IF(NOT(ISNUMBER(AM73)),"Previsión",IF(AND(ISNUMBER(H73),N(M73)&gt;0,N(N73)&gt;ROUND(H73-N(I73),3)),"Reasignar sobrante",IF(AND(ISNUMBER(N73),N73&gt;ROUND(AM73-N(I73),3)),"Revisar excedente",IF(AND(ISNUMBER(H73),L73&lt;&gt;"Sí",NOT(AND(N(M73)&gt;0,J73=0))),"Por confirmar",IF(J73=0,"Hecho",IF(AND(ISNUMBER(N73),N73&gt;0),"Completar","Preparar")))))))))))))))))))))))))))))))</f>
        <v>Previsión</v>
      </c>
      <c r="AC73">
        <f t="shared" ref="AC73:AC104" si="28">IF(OR(W73&lt;&gt;"",AJ73=0),0,IF(COUNTIFS($A$9:$A$128,A73,$AJ$9:$AJ$128,1,$D$9:$D$128,"&lt;="&amp;E73,$E$9:$E$128,"&gt;="&amp;D73)&gt;1,1,0))</f>
        <v>0</v>
      </c>
      <c r="AD73">
        <f>IF(OR(NOT(ISNUMBER(B73)),A73="",NOT(ISNUMBER(Z73)),Z73&lt;=0),0,IF(COUNTIFS($A$9:A73,A73,$B$9:B73,B73,$Z$9:Z73,"&gt;0")=1,1,0))</f>
        <v>1</v>
      </c>
      <c r="AE73">
        <f t="shared" ref="AE73:AE104" si="29">IF(OR(AK73&lt;=0,AC73=1),0,IF(AND(A73="Tsue",NOT(AND(ISBLANK(H73),L73="Adelanto"))),IF(ISNUMBER(C73),SUMIFS($H$9:$H$128,$A$9:$A$128,A73,$C$9:$C$128,C73,$AC$9:$AC$128,0,$H$9:$H$128,"&gt;0"),0),IF(ISNUMBER(Z73),Z73,0)))</f>
        <v>0</v>
      </c>
      <c r="AF73">
        <f t="shared" ref="AF73:AF104" si="30">IF(OR(AE73&lt;=0,AK73&lt;=0),0,IF(ABS(AE73/AK73-ROUND(AE73/AK73,0))&gt;0.000001,1,0))</f>
        <v>0</v>
      </c>
      <c r="AG73" t="str">
        <f>IF(OR(AF73=0,AK73&lt;=0),"",IF(A73="Tsue","Retiro: ","Tanda: ")&amp;ROUND(AE73,3)&amp;" "&amp;F73&amp;". Acordar "&amp;INT(AE73/AK73)&amp;" o "&amp;ROUNDUP(AE73/AK73,0)&amp;IF(A73="Tsue"," envases de 5 L."," porciones de 500 g."))</f>
        <v/>
      </c>
      <c r="AH73">
        <f>IF(COUNTA(A73:E73,H73:I73,K73:L73,N73)=0,0,IF(OR(NOT(ISNUMBER(B73)),B73&lt;'Por semana'!$C$45,B73&gt;'Por semana'!$J$46+6),1,0))</f>
        <v>0</v>
      </c>
      <c r="AI73">
        <f t="shared" ref="AI73:AI104" si="32">IF(OR(AC73=1,A73=""),0,IF(ISNUMBER(H73),MAX(0,H73),IF(ISNUMBER(G73),G73,0)))</f>
        <v>15</v>
      </c>
      <c r="AJ73">
        <f t="shared" ref="AJ73:AJ104" si="33">IF(OR(A73="",NOT(ISNUMBER(D73)),NOT(ISNUMBER(E73)),AND(ISNUMBER(H73),H73=0)),0,1)</f>
        <v>1</v>
      </c>
      <c r="AK73">
        <f>IF(R73=0,0,IFERROR(INDEX(criterio!$J$11:$J$22,R73)+0,0))</f>
        <v>0</v>
      </c>
      <c r="AL73" t="str">
        <f t="shared" ref="AL73:AL104" si="34">IF(AC73=1,"Usar la fila ya prevista",IF(AND(AF73=1,OR(AB73="Preparar",AB73="Completar",AB73="Por confirmar"),AA73=""),"Acordar envases",IF(AND(OR(AB73="Previsión",AB73="Por confirmar",AB73="Preparar",AB73="Completar"),AA73&lt;&gt;""),AA73,AB73)))</f>
        <v>Previsión</v>
      </c>
      <c r="AM73" t="str">
        <f t="shared" ref="AM73:AM104" si="35">IF(ISNUMBER(H73),H73,IF(AND(ISBLANK(H73),L73="Adelanto",ISNUMBER(M73),M73&gt;0),M73,""))</f>
        <v/>
      </c>
    </row>
    <row r="74" spans="1:39" ht="31" customHeight="1">
      <c r="A74" s="5" t="s">
        <v>40</v>
      </c>
      <c r="B74" s="19">
        <v>46414</v>
      </c>
      <c r="C74" s="19">
        <v>46416</v>
      </c>
      <c r="D74" s="19">
        <v>46419</v>
      </c>
      <c r="E74" s="19">
        <v>46433</v>
      </c>
      <c r="F74" s="4" t="str">
        <f>IF(R74=0,"",INDEX(criterio!$B$11:$B$22,R74))</f>
        <v>L</v>
      </c>
      <c r="G74" s="24">
        <f>IFERROR(IF(INDEX(criterio!$B$31:$B$111,MATCH(W74,criterio!$A$31:$A$111,0))=A74,INDEX(criterio!$C$31:$C$111,MATCH(W74,criterio!$A$31:$A$111,0)),""),"")</f>
        <v>33</v>
      </c>
      <c r="H74" s="26"/>
      <c r="I74" s="26"/>
      <c r="J74" s="28" t="str">
        <f t="shared" si="24"/>
        <v/>
      </c>
      <c r="K74" s="20"/>
      <c r="L74" s="21"/>
      <c r="M74" s="26"/>
      <c r="N74" s="26"/>
      <c r="O74" s="6" t="str">
        <f t="shared" si="25"/>
        <v>Previsión</v>
      </c>
      <c r="P74" s="6" t="str">
        <f>IFERROR(IF(AND(INDEX(criterio!$I$31:$I$111,MATCH(W74,criterio!$A$31:$A$111,0))=1,INDEX(criterio!$B$31:$B$111,MATCH(W74,criterio!$A$31:$A$111,0))=A74,ISNUMBER(B74),B74&gt;=criterio!$B$5,D74&lt;=criterio!$B$6,E74&gt;=criterio!$B$5),"Fuera de la previa del 20/12",""),"")</f>
        <v/>
      </c>
      <c r="Q74" s="22">
        <f t="shared" si="26"/>
        <v>46445</v>
      </c>
      <c r="R74">
        <f>IFERROR(MATCH(A74,criterio!$A$11:$A$22,0),0)</f>
        <v>8</v>
      </c>
      <c r="S74">
        <f>IF(R74=0,"",INDEX(criterio!$E$11:$E$22,R74))</f>
        <v>0</v>
      </c>
      <c r="T74">
        <f>IF(R74=0,"",INDEX(criterio!$C$11:$C$22,R74))</f>
        <v>1</v>
      </c>
      <c r="U74" t="str">
        <f>IF(R74=0,"",INDEX(criterio!$D$11:$D$22,R74))</f>
        <v>mes</v>
      </c>
      <c r="V74">
        <f>IF(AND(ISNUMBER(B74),B74=Turno!$B$3,OR(AL74="Preparar",AL74="Completar")),MAX($V$8:V73)+1,0)</f>
        <v>0</v>
      </c>
      <c r="W74" t="s">
        <v>111</v>
      </c>
      <c r="Y74" t="str">
        <f>IF(R74=0,"",INDEX(criterio!$I$11:$I$22,R74))</f>
        <v>Lugar fresco y seco, 15–30 °C.
Proteger de luz y calor.</v>
      </c>
      <c r="Z74">
        <f t="shared" si="27"/>
        <v>33</v>
      </c>
      <c r="AA74" t="str">
        <f>IF(OR(A74="",COUNT(B74:C74)&lt;&gt;2),"",IF(OR(WEEKDAY(B74,2)&gt;5,COUNTIF(criterio!$B$25:$E$25,B74)&gt;0),"Cambiar día de elaboración",IF(OR(WEEKDAY(C74,2)&gt;5,COUNTIF(criterio!$B$25:$E$25,C74)&gt;0),"Cambiar día de retiro",IF(SUMIF($B$9:$B$128,B74,$AD$9:$AD$128)&gt;criterio!$D$26,"Más de dos recetas",IF(OR(A74="",NOT(ISNUMBER(B74))),"",IF(OR(NOT(ISNUMBER($Q$2)),NOT(ISNUMBER($Q$3)),$Q$2&lt;=0,$Q$3&lt;=0),"Revisar topes de carga",IF(SUMIFS($Z$9:$Z$128,$B$9:$B$128,B74,$F$9:$F$128,"kg")/$Q$2+SUMIFS($Z$9:$Z$128,$B$9:$B$128,B74,$F$9:$F$128,"L")/$Q$3&gt;1.000001,"Repartir carga del día","")))))))</f>
        <v/>
      </c>
      <c r="AB74" t="str">
        <f>IF(COUNTA(A74:E74,H74:I74,K74:N74)=0,"",IF(R74=0,"Elegir producto",IF(COUNT(B74:E74)&lt;&gt;4,"Completar fechas",IF(E74&lt;D74,"Revisar días de uso",IF(C74+criterio!$B$3&gt;D74,"El retiro llega tarde",IF(AND(N74&lt;&gt;"",OR(NOT(ISNUMBER(N74)),N74&lt;0)),"Revisar cantidad hecha",IF(AND(M74&lt;&gt;"",OR(NOT(ISNUMBER(M74)),M74&lt;0)),"Revisar cant. a adelantar",IF(AND(AND(ISBLANK(H74),L74="Adelanto"),NOT(ISNUMBER(AM74))),"Cargar cant. a adelantar",IF(AND(AND(ISBLANK(H74),L74="Adelanto"),I74&lt;&gt;"",OR(NOT(ISNUMBER(I74)),I74&lt;&gt;0)),"Revisar stock del adelanto",IF(AND(ISNUMBER(N74),N74&gt;0,L74&lt;&gt;"Sí",L74&lt;&gt;"Adelanto",N(M74)&lt;=0),"Hecho sin liberar",IF(AND(ISBLANK(H74),L74&lt;&gt;"Adelanto",OR(I74&lt;&gt;"",L74="Sí")),"Falta pedido real",IF(AND(H74&lt;&gt;"",OR(NOT(ISNUMBER(H74)),H74&lt;0)),"Revisar pedido",IF(AND(ISNUMBER(H74),H74=0,N(M74)&gt;0,N(N74)&gt;0,N(I74)=0),"Reasignar sobrante",IF(AND(ISNUMBER(H74),H74=0,OR(N74&gt;0,I74&gt;0)),"Revisar pedido y cantidades",IF(AND(ISNUMBER(H74),H74=0),"Sin pedido",IF(AND(ISNUMBER(H74),ISBLANK(I74)),"Falta anotar stock",IF(AND(I74&lt;&gt;"",OR(NOT(ISNUMBER(I74)),I74&lt;0,AND(ISNUMBER(H74),I74&gt;H74))),"Revisar stock asignado",IF(AND(ISNUMBER(I74),I74&gt;0,NOT(ISNUMBER(K74))),"Falta vencimiento de stock",IF(AND(ISNUMBER(I74),I74&gt;0,K74&lt;E74+criterio!$B$4),"El stock no cubre el uso",IF(AND(ISNUMBER(H74),ISNUMBER(I74),H74=I74,OR(N74="",N74=0)),"Cubierto con stock",IF(B74=criterio!$B$25,"Jornada bloqueada",IF(B74+S74&gt;C74,"No llega al retiro",IF(Q74&lt;E74,"Vence antes del último uso",IF(Q74&lt;E74+criterio!$B$4,"Falta margen de vida útil",IF(AND(ISBLANK(H74),L74&lt;&gt;"Adelanto",N(N74)&gt;0,N(M74)&gt;0),"Adelanto en pausa",IF(NOT(ISNUMBER(AM74)),"Previsión",IF(AND(ISNUMBER(H74),N(M74)&gt;0,N(N74)&gt;ROUND(H74-N(I74),3)),"Reasignar sobrante",IF(AND(ISNUMBER(N74),N74&gt;ROUND(AM74-N(I74),3)),"Revisar excedente",IF(AND(ISNUMBER(H74),L74&lt;&gt;"Sí",NOT(AND(N(M74)&gt;0,J74=0))),"Por confirmar",IF(J74=0,"Hecho",IF(AND(ISNUMBER(N74),N74&gt;0),"Completar","Preparar")))))))))))))))))))))))))))))))</f>
        <v>Previsión</v>
      </c>
      <c r="AC74">
        <f t="shared" si="28"/>
        <v>0</v>
      </c>
      <c r="AD74">
        <f>IF(OR(NOT(ISNUMBER(B74)),A74="",NOT(ISNUMBER(Z74)),Z74&lt;=0),0,IF(COUNTIFS($A$9:A74,A74,$B$9:B74,B74,$Z$9:Z74,"&gt;0")=1,1,0))</f>
        <v>1</v>
      </c>
      <c r="AE74">
        <f t="shared" si="29"/>
        <v>0</v>
      </c>
      <c r="AF74">
        <f t="shared" si="30"/>
        <v>0</v>
      </c>
      <c r="AG74" t="str">
        <f>IF(OR(AF74=0,AK74&lt;=0),"",IF(A74="Tsue","Retiro: ","Tanda: ")&amp;ROUND(AE74,3)&amp;" "&amp;F74&amp;". Acordar "&amp;INT(AE74/AK74)&amp;" o "&amp;ROUNDUP(AE74/AK74,0)&amp;IF(A74="Tsue"," envases de 5 L."," porciones de 500 g."))</f>
        <v/>
      </c>
      <c r="AH74">
        <f>IF(COUNTA(A74:E74,H74:I74,K74:L74,N74)=0,0,IF(OR(NOT(ISNUMBER(B74)),B74&lt;'Por semana'!$C$45,B74&gt;'Por semana'!$J$46+6),1,0))</f>
        <v>0</v>
      </c>
      <c r="AI74">
        <f t="shared" si="32"/>
        <v>33</v>
      </c>
      <c r="AJ74">
        <f t="shared" si="33"/>
        <v>1</v>
      </c>
      <c r="AK74">
        <f>IF(R74=0,0,IFERROR(INDEX(criterio!$J$11:$J$22,R74)+0,0))</f>
        <v>5</v>
      </c>
      <c r="AL74" t="str">
        <f t="shared" si="34"/>
        <v>Previsión</v>
      </c>
      <c r="AM74" t="str">
        <f t="shared" si="35"/>
        <v/>
      </c>
    </row>
    <row r="75" spans="1:39" ht="31" customHeight="1">
      <c r="A75" s="5" t="s">
        <v>70</v>
      </c>
      <c r="B75" s="19">
        <v>46415</v>
      </c>
      <c r="C75" s="19">
        <v>46416</v>
      </c>
      <c r="D75" s="19">
        <v>46419</v>
      </c>
      <c r="E75" s="19">
        <v>46433</v>
      </c>
      <c r="F75" s="4" t="str">
        <f>IF(R75=0,"",INDEX(criterio!$B$11:$B$22,R75))</f>
        <v>L</v>
      </c>
      <c r="G75" s="24">
        <f>IFERROR(IF(INDEX(criterio!$B$31:$B$111,MATCH(W75,criterio!$A$31:$A$111,0))=A75,INDEX(criterio!$C$31:$C$111,MATCH(W75,criterio!$A$31:$A$111,0)),""),"")</f>
        <v>4</v>
      </c>
      <c r="H75" s="26"/>
      <c r="I75" s="26"/>
      <c r="J75" s="28" t="str">
        <f t="shared" si="24"/>
        <v/>
      </c>
      <c r="K75" s="20"/>
      <c r="L75" s="21"/>
      <c r="M75" s="26"/>
      <c r="N75" s="26"/>
      <c r="O75" s="6" t="str">
        <f t="shared" si="25"/>
        <v>Previsión</v>
      </c>
      <c r="P75" s="6" t="str">
        <f>IFERROR(IF(AND(INDEX(criterio!$I$31:$I$111,MATCH(W75,criterio!$A$31:$A$111,0))=1,INDEX(criterio!$B$31:$B$111,MATCH(W75,criterio!$A$31:$A$111,0))=A75,ISNUMBER(B75),B75&gt;=criterio!$B$5,D75&lt;=criterio!$B$6,E75&gt;=criterio!$B$5),"Fuera de la previa del 20/12",""),"")</f>
        <v/>
      </c>
      <c r="Q75" s="22">
        <f t="shared" si="26"/>
        <v>46445</v>
      </c>
      <c r="R75">
        <f>IFERROR(MATCH(A75,criterio!$A$11:$A$22,0),0)</f>
        <v>11</v>
      </c>
      <c r="S75">
        <f>IF(R75=0,"",INDEX(criterio!$E$11:$E$22,R75))</f>
        <v>0</v>
      </c>
      <c r="T75">
        <f>IF(R75=0,"",INDEX(criterio!$C$11:$C$22,R75))</f>
        <v>30</v>
      </c>
      <c r="U75" t="str">
        <f>IF(R75=0,"",INDEX(criterio!$D$11:$D$22,R75))</f>
        <v>días</v>
      </c>
      <c r="V75">
        <f>IF(AND(ISNUMBER(B75),B75=Turno!$B$3,OR(AL75="Preparar",AL75="Completar")),MAX($V$8:V74)+1,0)</f>
        <v>0</v>
      </c>
      <c r="W75" t="s">
        <v>112</v>
      </c>
      <c r="Y75" t="str">
        <f>IF(R75=0,"",INDEX(criterio!$I$11:$I$22,R75))</f>
        <v>Heladera 0–5 °C. Solo base.
El cítrico se agrega en barra.</v>
      </c>
      <c r="Z75">
        <f t="shared" si="27"/>
        <v>4</v>
      </c>
      <c r="AA75" t="str">
        <f>IF(OR(A75="",COUNT(B75:C75)&lt;&gt;2),"",IF(OR(WEEKDAY(B75,2)&gt;5,COUNTIF(criterio!$B$25:$E$25,B75)&gt;0),"Cambiar día de elaboración",IF(OR(WEEKDAY(C75,2)&gt;5,COUNTIF(criterio!$B$25:$E$25,C75)&gt;0),"Cambiar día de retiro",IF(SUMIF($B$9:$B$128,B75,$AD$9:$AD$128)&gt;criterio!$D$26,"Más de dos recetas",IF(OR(A75="",NOT(ISNUMBER(B75))),"",IF(OR(NOT(ISNUMBER($Q$2)),NOT(ISNUMBER($Q$3)),$Q$2&lt;=0,$Q$3&lt;=0),"Revisar topes de carga",IF(SUMIFS($Z$9:$Z$128,$B$9:$B$128,B75,$F$9:$F$128,"kg")/$Q$2+SUMIFS($Z$9:$Z$128,$B$9:$B$128,B75,$F$9:$F$128,"L")/$Q$3&gt;1.000001,"Repartir carga del día","")))))))</f>
        <v/>
      </c>
      <c r="AB75" t="str">
        <f>IF(COUNTA(A75:E75,H75:I75,K75:N75)=0,"",IF(R75=0,"Elegir producto",IF(COUNT(B75:E75)&lt;&gt;4,"Completar fechas",IF(E75&lt;D75,"Revisar días de uso",IF(C75+criterio!$B$3&gt;D75,"El retiro llega tarde",IF(AND(N75&lt;&gt;"",OR(NOT(ISNUMBER(N75)),N75&lt;0)),"Revisar cantidad hecha",IF(AND(M75&lt;&gt;"",OR(NOT(ISNUMBER(M75)),M75&lt;0)),"Revisar cant. a adelantar",IF(AND(AND(ISBLANK(H75),L75="Adelanto"),NOT(ISNUMBER(AM75))),"Cargar cant. a adelantar",IF(AND(AND(ISBLANK(H75),L75="Adelanto"),I75&lt;&gt;"",OR(NOT(ISNUMBER(I75)),I75&lt;&gt;0)),"Revisar stock del adelanto",IF(AND(ISNUMBER(N75),N75&gt;0,L75&lt;&gt;"Sí",L75&lt;&gt;"Adelanto",N(M75)&lt;=0),"Hecho sin liberar",IF(AND(ISBLANK(H75),L75&lt;&gt;"Adelanto",OR(I75&lt;&gt;"",L75="Sí")),"Falta pedido real",IF(AND(H75&lt;&gt;"",OR(NOT(ISNUMBER(H75)),H75&lt;0)),"Revisar pedido",IF(AND(ISNUMBER(H75),H75=0,N(M75)&gt;0,N(N75)&gt;0,N(I75)=0),"Reasignar sobrante",IF(AND(ISNUMBER(H75),H75=0,OR(N75&gt;0,I75&gt;0)),"Revisar pedido y cantidades",IF(AND(ISNUMBER(H75),H75=0),"Sin pedido",IF(AND(ISNUMBER(H75),ISBLANK(I75)),"Falta anotar stock",IF(AND(I75&lt;&gt;"",OR(NOT(ISNUMBER(I75)),I75&lt;0,AND(ISNUMBER(H75),I75&gt;H75))),"Revisar stock asignado",IF(AND(ISNUMBER(I75),I75&gt;0,NOT(ISNUMBER(K75))),"Falta vencimiento de stock",IF(AND(ISNUMBER(I75),I75&gt;0,K75&lt;E75+criterio!$B$4),"El stock no cubre el uso",IF(AND(ISNUMBER(H75),ISNUMBER(I75),H75=I75,OR(N75="",N75=0)),"Cubierto con stock",IF(B75=criterio!$B$25,"Jornada bloqueada",IF(B75+S75&gt;C75,"No llega al retiro",IF(Q75&lt;E75,"Vence antes del último uso",IF(Q75&lt;E75+criterio!$B$4,"Falta margen de vida útil",IF(AND(ISBLANK(H75),L75&lt;&gt;"Adelanto",N(N75)&gt;0,N(M75)&gt;0),"Adelanto en pausa",IF(NOT(ISNUMBER(AM75)),"Previsión",IF(AND(ISNUMBER(H75),N(M75)&gt;0,N(N75)&gt;ROUND(H75-N(I75),3)),"Reasignar sobrante",IF(AND(ISNUMBER(N75),N75&gt;ROUND(AM75-N(I75),3)),"Revisar excedente",IF(AND(ISNUMBER(H75),L75&lt;&gt;"Sí",NOT(AND(N(M75)&gt;0,J75=0))),"Por confirmar",IF(J75=0,"Hecho",IF(AND(ISNUMBER(N75),N75&gt;0),"Completar","Preparar")))))))))))))))))))))))))))))))</f>
        <v>Previsión</v>
      </c>
      <c r="AC75">
        <f t="shared" si="28"/>
        <v>0</v>
      </c>
      <c r="AD75">
        <f>IF(OR(NOT(ISNUMBER(B75)),A75="",NOT(ISNUMBER(Z75)),Z75&lt;=0),0,IF(COUNTIFS($A$9:A75,A75,$B$9:B75,B75,$Z$9:Z75,"&gt;0")=1,1,0))</f>
        <v>1</v>
      </c>
      <c r="AE75">
        <f t="shared" si="29"/>
        <v>0</v>
      </c>
      <c r="AF75">
        <f t="shared" si="30"/>
        <v>0</v>
      </c>
      <c r="AG75" t="str">
        <f>IF(OR(AF75=0,AK75&lt;=0),"",IF(A75="Tsue","Retiro: ","Tanda: ")&amp;ROUND(AE75,3)&amp;" "&amp;F75&amp;". Acordar "&amp;INT(AE75/AK75)&amp;" o "&amp;ROUNDUP(AE75/AK75,0)&amp;IF(A75="Tsue"," envases de 5 L."," porciones de 500 g."))</f>
        <v/>
      </c>
      <c r="AH75">
        <f>IF(COUNTA(A75:E75,H75:I75,K75:L75,N75)=0,0,IF(OR(NOT(ISNUMBER(B75)),B75&lt;'Por semana'!$C$45,B75&gt;'Por semana'!$J$46+6),1,0))</f>
        <v>0</v>
      </c>
      <c r="AI75">
        <f t="shared" si="32"/>
        <v>4</v>
      </c>
      <c r="AJ75">
        <f t="shared" si="33"/>
        <v>1</v>
      </c>
      <c r="AK75">
        <f>IF(R75=0,0,IFERROR(INDEX(criterio!$J$11:$J$22,R75)+0,0))</f>
        <v>0</v>
      </c>
      <c r="AL75" t="str">
        <f t="shared" si="34"/>
        <v>Previsión</v>
      </c>
      <c r="AM75" t="str">
        <f t="shared" si="35"/>
        <v/>
      </c>
    </row>
    <row r="76" spans="1:39" ht="31" customHeight="1">
      <c r="A76" s="5" t="s">
        <v>53</v>
      </c>
      <c r="B76" s="19">
        <v>46420</v>
      </c>
      <c r="C76" s="19">
        <v>46423</v>
      </c>
      <c r="D76" s="19">
        <v>46426</v>
      </c>
      <c r="E76" s="19">
        <v>46433</v>
      </c>
      <c r="F76" s="4" t="str">
        <f>IF(R76=0,"",INDEX(criterio!$B$11:$B$22,R76))</f>
        <v>kg</v>
      </c>
      <c r="G76" s="23">
        <f>IFERROR(IF(INDEX(criterio!$B$31:$B$111,MATCH(W76,criterio!$A$31:$A$111,0))=A76,INDEX(criterio!$C$31:$C$111,MATCH(W76,criterio!$A$31:$A$111,0)),""),"")</f>
        <v>13</v>
      </c>
      <c r="H76" s="25"/>
      <c r="I76" s="25"/>
      <c r="J76" s="27" t="str">
        <f t="shared" si="24"/>
        <v/>
      </c>
      <c r="K76" s="20"/>
      <c r="L76" s="21"/>
      <c r="M76" s="25"/>
      <c r="N76" s="25"/>
      <c r="O76" s="6" t="str">
        <f t="shared" si="25"/>
        <v>Previsión</v>
      </c>
      <c r="P76" s="6" t="str">
        <f>IFERROR(IF(AND(INDEX(criterio!$I$31:$I$111,MATCH(W76,criterio!$A$31:$A$111,0))=1,INDEX(criterio!$B$31:$B$111,MATCH(W76,criterio!$A$31:$A$111,0))=A76,ISNUMBER(B76),B76&gt;=criterio!$B$5,D76&lt;=criterio!$B$6,E76&gt;=criterio!$B$5),"Fuera de la previa del 20/12",""),"")</f>
        <v/>
      </c>
      <c r="Q76" s="22">
        <f t="shared" si="26"/>
        <v>46450</v>
      </c>
      <c r="R76">
        <f>IFERROR(MATCH(A76,criterio!$A$11:$A$22,0),0)</f>
        <v>6</v>
      </c>
      <c r="S76">
        <f>IF(R76=0,"",INDEX(criterio!$E$11:$E$22,R76))</f>
        <v>0</v>
      </c>
      <c r="T76">
        <f>IF(R76=0,"",INDEX(criterio!$C$11:$C$22,R76))</f>
        <v>30</v>
      </c>
      <c r="U76" t="str">
        <f>IF(R76=0,"",INDEX(criterio!$D$11:$D$22,R76))</f>
        <v>días</v>
      </c>
      <c r="V76">
        <f>IF(AND(ISNUMBER(B76),B76=Turno!$B$3,OR(AL76="Preparar",AL76="Completar")),MAX($V$8:V75)+1,0)</f>
        <v>0</v>
      </c>
      <c r="W76" t="s">
        <v>113</v>
      </c>
      <c r="Y76" t="str">
        <f>IF(R76=0,"",INDEX(criterio!$I$11:$I$22,R76))</f>
        <v>Heladera 0–5 °C.
Abierto en topinera: 7 días, sin superar vencimiento.</v>
      </c>
      <c r="Z76">
        <f t="shared" si="27"/>
        <v>13</v>
      </c>
      <c r="AA76" t="str">
        <f>IF(OR(A76="",COUNT(B76:C76)&lt;&gt;2),"",IF(OR(WEEKDAY(B76,2)&gt;5,COUNTIF(criterio!$B$25:$E$25,B76)&gt;0),"Cambiar día de elaboración",IF(OR(WEEKDAY(C76,2)&gt;5,COUNTIF(criterio!$B$25:$E$25,C76)&gt;0),"Cambiar día de retiro",IF(SUMIF($B$9:$B$128,B76,$AD$9:$AD$128)&gt;criterio!$D$26,"Más de dos recetas",IF(OR(A76="",NOT(ISNUMBER(B76))),"",IF(OR(NOT(ISNUMBER($Q$2)),NOT(ISNUMBER($Q$3)),$Q$2&lt;=0,$Q$3&lt;=0),"Revisar topes de carga",IF(SUMIFS($Z$9:$Z$128,$B$9:$B$128,B76,$F$9:$F$128,"kg")/$Q$2+SUMIFS($Z$9:$Z$128,$B$9:$B$128,B76,$F$9:$F$128,"L")/$Q$3&gt;1.000001,"Repartir carga del día","")))))))</f>
        <v/>
      </c>
      <c r="AB76" t="str">
        <f>IF(COUNTA(A76:E76,H76:I76,K76:N76)=0,"",IF(R76=0,"Elegir producto",IF(COUNT(B76:E76)&lt;&gt;4,"Completar fechas",IF(E76&lt;D76,"Revisar días de uso",IF(C76+criterio!$B$3&gt;D76,"El retiro llega tarde",IF(AND(N76&lt;&gt;"",OR(NOT(ISNUMBER(N76)),N76&lt;0)),"Revisar cantidad hecha",IF(AND(M76&lt;&gt;"",OR(NOT(ISNUMBER(M76)),M76&lt;0)),"Revisar cant. a adelantar",IF(AND(AND(ISBLANK(H76),L76="Adelanto"),NOT(ISNUMBER(AM76))),"Cargar cant. a adelantar",IF(AND(AND(ISBLANK(H76),L76="Adelanto"),I76&lt;&gt;"",OR(NOT(ISNUMBER(I76)),I76&lt;&gt;0)),"Revisar stock del adelanto",IF(AND(ISNUMBER(N76),N76&gt;0,L76&lt;&gt;"Sí",L76&lt;&gt;"Adelanto",N(M76)&lt;=0),"Hecho sin liberar",IF(AND(ISBLANK(H76),L76&lt;&gt;"Adelanto",OR(I76&lt;&gt;"",L76="Sí")),"Falta pedido real",IF(AND(H76&lt;&gt;"",OR(NOT(ISNUMBER(H76)),H76&lt;0)),"Revisar pedido",IF(AND(ISNUMBER(H76),H76=0,N(M76)&gt;0,N(N76)&gt;0,N(I76)=0),"Reasignar sobrante",IF(AND(ISNUMBER(H76),H76=0,OR(N76&gt;0,I76&gt;0)),"Revisar pedido y cantidades",IF(AND(ISNUMBER(H76),H76=0),"Sin pedido",IF(AND(ISNUMBER(H76),ISBLANK(I76)),"Falta anotar stock",IF(AND(I76&lt;&gt;"",OR(NOT(ISNUMBER(I76)),I76&lt;0,AND(ISNUMBER(H76),I76&gt;H76))),"Revisar stock asignado",IF(AND(ISNUMBER(I76),I76&gt;0,NOT(ISNUMBER(K76))),"Falta vencimiento de stock",IF(AND(ISNUMBER(I76),I76&gt;0,K76&lt;E76+criterio!$B$4),"El stock no cubre el uso",IF(AND(ISNUMBER(H76),ISNUMBER(I76),H76=I76,OR(N76="",N76=0)),"Cubierto con stock",IF(B76=criterio!$B$25,"Jornada bloqueada",IF(B76+S76&gt;C76,"No llega al retiro",IF(Q76&lt;E76,"Vence antes del último uso",IF(Q76&lt;E76+criterio!$B$4,"Falta margen de vida útil",IF(AND(ISBLANK(H76),L76&lt;&gt;"Adelanto",N(N76)&gt;0,N(M76)&gt;0),"Adelanto en pausa",IF(NOT(ISNUMBER(AM76)),"Previsión",IF(AND(ISNUMBER(H76),N(M76)&gt;0,N(N76)&gt;ROUND(H76-N(I76),3)),"Reasignar sobrante",IF(AND(ISNUMBER(N76),N76&gt;ROUND(AM76-N(I76),3)),"Revisar excedente",IF(AND(ISNUMBER(H76),L76&lt;&gt;"Sí",NOT(AND(N(M76)&gt;0,J76=0))),"Por confirmar",IF(J76=0,"Hecho",IF(AND(ISNUMBER(N76),N76&gt;0),"Completar","Preparar")))))))))))))))))))))))))))))))</f>
        <v>Previsión</v>
      </c>
      <c r="AC76">
        <f t="shared" si="28"/>
        <v>0</v>
      </c>
      <c r="AD76">
        <f>IF(OR(NOT(ISNUMBER(B76)),A76="",NOT(ISNUMBER(Z76)),Z76&lt;=0),0,IF(COUNTIFS($A$9:A76,A76,$B$9:B76,B76,$Z$9:Z76,"&gt;0")=1,1,0))</f>
        <v>1</v>
      </c>
      <c r="AE76">
        <f t="shared" si="29"/>
        <v>0</v>
      </c>
      <c r="AF76">
        <f t="shared" si="30"/>
        <v>0</v>
      </c>
      <c r="AG76" t="str">
        <f>IF(OR(AF76=0,AK76&lt;=0),"",IF(A76="Tsue","Retiro: ","Tanda: ")&amp;ROUND(AE76,3)&amp;" "&amp;F76&amp;". Acordar "&amp;INT(AE76/AK76)&amp;" o "&amp;ROUNDUP(AE76/AK76,0)&amp;IF(A76="Tsue"," envases de 5 L."," porciones de 500 g."))</f>
        <v/>
      </c>
      <c r="AH76">
        <f>IF(COUNTA(A76:E76,H76:I76,K76:L76,N76)=0,0,IF(OR(NOT(ISNUMBER(B76)),B76&lt;'Por semana'!$C$45,B76&gt;'Por semana'!$J$46+6),1,0))</f>
        <v>0</v>
      </c>
      <c r="AI76">
        <f t="shared" si="32"/>
        <v>13</v>
      </c>
      <c r="AJ76">
        <f t="shared" si="33"/>
        <v>1</v>
      </c>
      <c r="AK76">
        <f>IF(R76=0,0,IFERROR(INDEX(criterio!$J$11:$J$22,R76)+0,0))</f>
        <v>0</v>
      </c>
      <c r="AL76" t="str">
        <f t="shared" si="34"/>
        <v>Previsión</v>
      </c>
      <c r="AM76" t="str">
        <f t="shared" si="35"/>
        <v/>
      </c>
    </row>
    <row r="77" spans="1:39" ht="31" customHeight="1">
      <c r="A77" s="5" t="s">
        <v>65</v>
      </c>
      <c r="B77" s="19">
        <v>46421</v>
      </c>
      <c r="C77" s="19">
        <v>46423</v>
      </c>
      <c r="D77" s="19">
        <v>46426</v>
      </c>
      <c r="E77" s="19">
        <v>46433</v>
      </c>
      <c r="F77" s="4" t="str">
        <f>IF(R77=0,"",INDEX(criterio!$B$11:$B$22,R77))</f>
        <v>kg</v>
      </c>
      <c r="G77" s="23">
        <f>IFERROR(IF(INDEX(criterio!$B$31:$B$111,MATCH(W77,criterio!$A$31:$A$111,0))=A77,INDEX(criterio!$C$31:$C$111,MATCH(W77,criterio!$A$31:$A$111,0)),""),"")</f>
        <v>18</v>
      </c>
      <c r="H77" s="25"/>
      <c r="I77" s="25"/>
      <c r="J77" s="27" t="str">
        <f t="shared" si="24"/>
        <v/>
      </c>
      <c r="K77" s="20"/>
      <c r="L77" s="21"/>
      <c r="M77" s="25"/>
      <c r="N77" s="25"/>
      <c r="O77" s="6" t="str">
        <f t="shared" si="25"/>
        <v>Previsión</v>
      </c>
      <c r="P77" s="6" t="str">
        <f>IFERROR(IF(AND(INDEX(criterio!$I$31:$I$111,MATCH(W77,criterio!$A$31:$A$111,0))=1,INDEX(criterio!$B$31:$B$111,MATCH(W77,criterio!$A$31:$A$111,0))=A77,ISNUMBER(B77),B77&gt;=criterio!$B$5,D77&lt;=criterio!$B$6,E77&gt;=criterio!$B$5),"Fuera de la previa del 20/12",""),"")</f>
        <v/>
      </c>
      <c r="Q77" s="22">
        <f t="shared" si="26"/>
        <v>46451</v>
      </c>
      <c r="R77">
        <f>IFERROR(MATCH(A77,criterio!$A$11:$A$22,0),0)</f>
        <v>7</v>
      </c>
      <c r="S77">
        <f>IF(R77=0,"",INDEX(criterio!$E$11:$E$22,R77))</f>
        <v>1</v>
      </c>
      <c r="T77">
        <f>IF(R77=0,"",INDEX(criterio!$C$11:$C$22,R77))</f>
        <v>30</v>
      </c>
      <c r="U77" t="str">
        <f>IF(R77=0,"",INDEX(criterio!$D$11:$D$22,R77))</f>
        <v>días</v>
      </c>
      <c r="V77">
        <f>IF(AND(ISNUMBER(B77),B77=Turno!$B$3,OR(AL77="Preparar",AL77="Completar")),MAX($V$8:V76)+1,0)</f>
        <v>0</v>
      </c>
      <c r="W77" t="s">
        <v>114</v>
      </c>
      <c r="Y77" t="str">
        <f>IF(R77=0,"",INDEX(criterio!$I$11:$I$22,R77))</f>
        <v>Heladera 0–5 °C. Marinar 24 h.
Abierto: 7 días, sin superar vencimiento.</v>
      </c>
      <c r="Z77">
        <f t="shared" si="27"/>
        <v>18</v>
      </c>
      <c r="AA77" t="str">
        <f>IF(OR(A77="",COUNT(B77:C77)&lt;&gt;2),"",IF(OR(WEEKDAY(B77,2)&gt;5,COUNTIF(criterio!$B$25:$E$25,B77)&gt;0),"Cambiar día de elaboración",IF(OR(WEEKDAY(C77,2)&gt;5,COUNTIF(criterio!$B$25:$E$25,C77)&gt;0),"Cambiar día de retiro",IF(SUMIF($B$9:$B$128,B77,$AD$9:$AD$128)&gt;criterio!$D$26,"Más de dos recetas",IF(OR(A77="",NOT(ISNUMBER(B77))),"",IF(OR(NOT(ISNUMBER($Q$2)),NOT(ISNUMBER($Q$3)),$Q$2&lt;=0,$Q$3&lt;=0),"Revisar topes de carga",IF(SUMIFS($Z$9:$Z$128,$B$9:$B$128,B77,$F$9:$F$128,"kg")/$Q$2+SUMIFS($Z$9:$Z$128,$B$9:$B$128,B77,$F$9:$F$128,"L")/$Q$3&gt;1.000001,"Repartir carga del día","")))))))</f>
        <v/>
      </c>
      <c r="AB77" t="str">
        <f>IF(COUNTA(A77:E77,H77:I77,K77:N77)=0,"",IF(R77=0,"Elegir producto",IF(COUNT(B77:E77)&lt;&gt;4,"Completar fechas",IF(E77&lt;D77,"Revisar días de uso",IF(C77+criterio!$B$3&gt;D77,"El retiro llega tarde",IF(AND(N77&lt;&gt;"",OR(NOT(ISNUMBER(N77)),N77&lt;0)),"Revisar cantidad hecha",IF(AND(M77&lt;&gt;"",OR(NOT(ISNUMBER(M77)),M77&lt;0)),"Revisar cant. a adelantar",IF(AND(AND(ISBLANK(H77),L77="Adelanto"),NOT(ISNUMBER(AM77))),"Cargar cant. a adelantar",IF(AND(AND(ISBLANK(H77),L77="Adelanto"),I77&lt;&gt;"",OR(NOT(ISNUMBER(I77)),I77&lt;&gt;0)),"Revisar stock del adelanto",IF(AND(ISNUMBER(N77),N77&gt;0,L77&lt;&gt;"Sí",L77&lt;&gt;"Adelanto",N(M77)&lt;=0),"Hecho sin liberar",IF(AND(ISBLANK(H77),L77&lt;&gt;"Adelanto",OR(I77&lt;&gt;"",L77="Sí")),"Falta pedido real",IF(AND(H77&lt;&gt;"",OR(NOT(ISNUMBER(H77)),H77&lt;0)),"Revisar pedido",IF(AND(ISNUMBER(H77),H77=0,N(M77)&gt;0,N(N77)&gt;0,N(I77)=0),"Reasignar sobrante",IF(AND(ISNUMBER(H77),H77=0,OR(N77&gt;0,I77&gt;0)),"Revisar pedido y cantidades",IF(AND(ISNUMBER(H77),H77=0),"Sin pedido",IF(AND(ISNUMBER(H77),ISBLANK(I77)),"Falta anotar stock",IF(AND(I77&lt;&gt;"",OR(NOT(ISNUMBER(I77)),I77&lt;0,AND(ISNUMBER(H77),I77&gt;H77))),"Revisar stock asignado",IF(AND(ISNUMBER(I77),I77&gt;0,NOT(ISNUMBER(K77))),"Falta vencimiento de stock",IF(AND(ISNUMBER(I77),I77&gt;0,K77&lt;E77+criterio!$B$4),"El stock no cubre el uso",IF(AND(ISNUMBER(H77),ISNUMBER(I77),H77=I77,OR(N77="",N77=0)),"Cubierto con stock",IF(B77=criterio!$B$25,"Jornada bloqueada",IF(B77+S77&gt;C77,"No llega al retiro",IF(Q77&lt;E77,"Vence antes del último uso",IF(Q77&lt;E77+criterio!$B$4,"Falta margen de vida útil",IF(AND(ISBLANK(H77),L77&lt;&gt;"Adelanto",N(N77)&gt;0,N(M77)&gt;0),"Adelanto en pausa",IF(NOT(ISNUMBER(AM77)),"Previsión",IF(AND(ISNUMBER(H77),N(M77)&gt;0,N(N77)&gt;ROUND(H77-N(I77),3)),"Reasignar sobrante",IF(AND(ISNUMBER(N77),N77&gt;ROUND(AM77-N(I77),3)),"Revisar excedente",IF(AND(ISNUMBER(H77),L77&lt;&gt;"Sí",NOT(AND(N(M77)&gt;0,J77=0))),"Por confirmar",IF(J77=0,"Hecho",IF(AND(ISNUMBER(N77),N77&gt;0),"Completar","Preparar")))))))))))))))))))))))))))))))</f>
        <v>Previsión</v>
      </c>
      <c r="AC77">
        <f t="shared" si="28"/>
        <v>0</v>
      </c>
      <c r="AD77">
        <f>IF(OR(NOT(ISNUMBER(B77)),A77="",NOT(ISNUMBER(Z77)),Z77&lt;=0),0,IF(COUNTIFS($A$9:A77,A77,$B$9:B77,B77,$Z$9:Z77,"&gt;0")=1,1,0))</f>
        <v>1</v>
      </c>
      <c r="AE77">
        <f t="shared" si="29"/>
        <v>0</v>
      </c>
      <c r="AF77">
        <f t="shared" si="30"/>
        <v>0</v>
      </c>
      <c r="AG77" t="str">
        <f>IF(OR(AF77=0,AK77&lt;=0),"",IF(A77="Tsue","Retiro: ","Tanda: ")&amp;ROUND(AE77,3)&amp;" "&amp;F77&amp;". Acordar "&amp;INT(AE77/AK77)&amp;" o "&amp;ROUNDUP(AE77/AK77,0)&amp;IF(A77="Tsue"," envases de 5 L."," porciones de 500 g."))</f>
        <v/>
      </c>
      <c r="AH77">
        <f>IF(COUNTA(A77:E77,H77:I77,K77:L77,N77)=0,0,IF(OR(NOT(ISNUMBER(B77)),B77&lt;'Por semana'!$C$45,B77&gt;'Por semana'!$J$46+6),1,0))</f>
        <v>0</v>
      </c>
      <c r="AI77">
        <f t="shared" si="32"/>
        <v>18</v>
      </c>
      <c r="AJ77">
        <f t="shared" si="33"/>
        <v>1</v>
      </c>
      <c r="AK77">
        <f>IF(R77=0,0,IFERROR(INDEX(criterio!$J$11:$J$22,R77)+0,0))</f>
        <v>0</v>
      </c>
      <c r="AL77" t="str">
        <f t="shared" si="34"/>
        <v>Previsión</v>
      </c>
      <c r="AM77" t="str">
        <f t="shared" si="35"/>
        <v/>
      </c>
    </row>
    <row r="78" spans="1:39" ht="31" customHeight="1">
      <c r="A78" s="5" t="s">
        <v>55</v>
      </c>
      <c r="B78" s="19">
        <v>46422</v>
      </c>
      <c r="C78" s="19">
        <v>46433</v>
      </c>
      <c r="D78" s="19">
        <v>46434</v>
      </c>
      <c r="E78" s="19">
        <v>46446</v>
      </c>
      <c r="F78" s="4" t="str">
        <f>IF(R78=0,"",INDEX(criterio!$B$11:$B$22,R78))</f>
        <v>kg</v>
      </c>
      <c r="G78" s="23">
        <f>IFERROR(IF(INDEX(criterio!$B$31:$B$111,MATCH(W78,criterio!$A$31:$A$111,0))=A78,INDEX(criterio!$C$31:$C$111,MATCH(W78,criterio!$A$31:$A$111,0)),""),"")</f>
        <v>3</v>
      </c>
      <c r="H78" s="25"/>
      <c r="I78" s="25"/>
      <c r="J78" s="27" t="str">
        <f t="shared" si="24"/>
        <v/>
      </c>
      <c r="K78" s="20"/>
      <c r="L78" s="21"/>
      <c r="M78" s="25"/>
      <c r="N78" s="25"/>
      <c r="O78" s="6" t="str">
        <f t="shared" si="25"/>
        <v>Previsión</v>
      </c>
      <c r="P78" s="6" t="str">
        <f>IFERROR(IF(AND(INDEX(criterio!$I$31:$I$111,MATCH(W78,criterio!$A$31:$A$111,0))=1,INDEX(criterio!$B$31:$B$111,MATCH(W78,criterio!$A$31:$A$111,0))=A78,ISNUMBER(B78),B78&gt;=criterio!$B$5,D78&lt;=criterio!$B$6,E78&gt;=criterio!$B$5),"Fuera de la previa del 20/12",""),"")</f>
        <v/>
      </c>
      <c r="Q78" s="22">
        <f t="shared" si="26"/>
        <v>46482</v>
      </c>
      <c r="R78">
        <f>IFERROR(MATCH(A78,criterio!$A$11:$A$22,0),0)</f>
        <v>3</v>
      </c>
      <c r="S78">
        <f>IF(R78=0,"",INDEX(criterio!$E$11:$E$22,R78))</f>
        <v>0</v>
      </c>
      <c r="T78">
        <f>IF(R78=0,"",INDEX(criterio!$C$11:$C$22,R78))</f>
        <v>60</v>
      </c>
      <c r="U78" t="str">
        <f>IF(R78=0,"",INDEX(criterio!$D$11:$D$22,R78))</f>
        <v>días</v>
      </c>
      <c r="V78">
        <f>IF(AND(ISNUMBER(B78),B78=Turno!$B$3,OR(AL78="Preparar",AL78="Completar")),MAX($V$8:V77)+1,0)</f>
        <v>0</v>
      </c>
      <c r="W78" t="s">
        <v>115</v>
      </c>
      <c r="Y78" t="str">
        <f>IF(R78=0,"",INDEX(criterio!$I$11:$I$22,R78))</f>
        <v>Seco, cerrado y sin humedad.
Abierto: 7 días, sin superar vencimiento.</v>
      </c>
      <c r="Z78">
        <f t="shared" si="27"/>
        <v>3</v>
      </c>
      <c r="AA78" t="str">
        <f>IF(OR(A78="",COUNT(B78:C78)&lt;&gt;2),"",IF(OR(WEEKDAY(B78,2)&gt;5,COUNTIF(criterio!$B$25:$E$25,B78)&gt;0),"Cambiar día de elaboración",IF(OR(WEEKDAY(C78,2)&gt;5,COUNTIF(criterio!$B$25:$E$25,C78)&gt;0),"Cambiar día de retiro",IF(SUMIF($B$9:$B$128,B78,$AD$9:$AD$128)&gt;criterio!$D$26,"Más de dos recetas",IF(OR(A78="",NOT(ISNUMBER(B78))),"",IF(OR(NOT(ISNUMBER($Q$2)),NOT(ISNUMBER($Q$3)),$Q$2&lt;=0,$Q$3&lt;=0),"Revisar topes de carga",IF(SUMIFS($Z$9:$Z$128,$B$9:$B$128,B78,$F$9:$F$128,"kg")/$Q$2+SUMIFS($Z$9:$Z$128,$B$9:$B$128,B78,$F$9:$F$128,"L")/$Q$3&gt;1.000001,"Repartir carga del día","")))))))</f>
        <v/>
      </c>
      <c r="AB78" t="str">
        <f>IF(COUNTA(A78:E78,H78:I78,K78:N78)=0,"",IF(R78=0,"Elegir producto",IF(COUNT(B78:E78)&lt;&gt;4,"Completar fechas",IF(E78&lt;D78,"Revisar días de uso",IF(C78+criterio!$B$3&gt;D78,"El retiro llega tarde",IF(AND(N78&lt;&gt;"",OR(NOT(ISNUMBER(N78)),N78&lt;0)),"Revisar cantidad hecha",IF(AND(M78&lt;&gt;"",OR(NOT(ISNUMBER(M78)),M78&lt;0)),"Revisar cant. a adelantar",IF(AND(AND(ISBLANK(H78),L78="Adelanto"),NOT(ISNUMBER(AM78))),"Cargar cant. a adelantar",IF(AND(AND(ISBLANK(H78),L78="Adelanto"),I78&lt;&gt;"",OR(NOT(ISNUMBER(I78)),I78&lt;&gt;0)),"Revisar stock del adelanto",IF(AND(ISNUMBER(N78),N78&gt;0,L78&lt;&gt;"Sí",L78&lt;&gt;"Adelanto",N(M78)&lt;=0),"Hecho sin liberar",IF(AND(ISBLANK(H78),L78&lt;&gt;"Adelanto",OR(I78&lt;&gt;"",L78="Sí")),"Falta pedido real",IF(AND(H78&lt;&gt;"",OR(NOT(ISNUMBER(H78)),H78&lt;0)),"Revisar pedido",IF(AND(ISNUMBER(H78),H78=0,N(M78)&gt;0,N(N78)&gt;0,N(I78)=0),"Reasignar sobrante",IF(AND(ISNUMBER(H78),H78=0,OR(N78&gt;0,I78&gt;0)),"Revisar pedido y cantidades",IF(AND(ISNUMBER(H78),H78=0),"Sin pedido",IF(AND(ISNUMBER(H78),ISBLANK(I78)),"Falta anotar stock",IF(AND(I78&lt;&gt;"",OR(NOT(ISNUMBER(I78)),I78&lt;0,AND(ISNUMBER(H78),I78&gt;H78))),"Revisar stock asignado",IF(AND(ISNUMBER(I78),I78&gt;0,NOT(ISNUMBER(K78))),"Falta vencimiento de stock",IF(AND(ISNUMBER(I78),I78&gt;0,K78&lt;E78+criterio!$B$4),"El stock no cubre el uso",IF(AND(ISNUMBER(H78),ISNUMBER(I78),H78=I78,OR(N78="",N78=0)),"Cubierto con stock",IF(B78=criterio!$B$25,"Jornada bloqueada",IF(B78+S78&gt;C78,"No llega al retiro",IF(Q78&lt;E78,"Vence antes del último uso",IF(Q78&lt;E78+criterio!$B$4,"Falta margen de vida útil",IF(AND(ISBLANK(H78),L78&lt;&gt;"Adelanto",N(N78)&gt;0,N(M78)&gt;0),"Adelanto en pausa",IF(NOT(ISNUMBER(AM78)),"Previsión",IF(AND(ISNUMBER(H78),N(M78)&gt;0,N(N78)&gt;ROUND(H78-N(I78),3)),"Reasignar sobrante",IF(AND(ISNUMBER(N78),N78&gt;ROUND(AM78-N(I78),3)),"Revisar excedente",IF(AND(ISNUMBER(H78),L78&lt;&gt;"Sí",NOT(AND(N(M78)&gt;0,J78=0))),"Por confirmar",IF(J78=0,"Hecho",IF(AND(ISNUMBER(N78),N78&gt;0),"Completar","Preparar")))))))))))))))))))))))))))))))</f>
        <v>Previsión</v>
      </c>
      <c r="AC78">
        <f t="shared" si="28"/>
        <v>0</v>
      </c>
      <c r="AD78">
        <f>IF(OR(NOT(ISNUMBER(B78)),A78="",NOT(ISNUMBER(Z78)),Z78&lt;=0),0,IF(COUNTIFS($A$9:A78,A78,$B$9:B78,B78,$Z$9:Z78,"&gt;0")=1,1,0))</f>
        <v>1</v>
      </c>
      <c r="AE78">
        <f t="shared" si="29"/>
        <v>0</v>
      </c>
      <c r="AF78">
        <f t="shared" si="30"/>
        <v>0</v>
      </c>
      <c r="AG78" t="str">
        <f>IF(OR(AF78=0,AK78&lt;=0),"",IF(A78="Tsue","Retiro: ","Tanda: ")&amp;ROUND(AE78,3)&amp;" "&amp;F78&amp;". Acordar "&amp;INT(AE78/AK78)&amp;" o "&amp;ROUNDUP(AE78/AK78,0)&amp;IF(A78="Tsue"," envases de 5 L."," porciones de 500 g."))</f>
        <v/>
      </c>
      <c r="AH78">
        <f>IF(COUNTA(A78:E78,H78:I78,K78:L78,N78)=0,0,IF(OR(NOT(ISNUMBER(B78)),B78&lt;'Por semana'!$C$45,B78&gt;'Por semana'!$J$46+6),1,0))</f>
        <v>0</v>
      </c>
      <c r="AI78">
        <f t="shared" si="32"/>
        <v>3</v>
      </c>
      <c r="AJ78">
        <f t="shared" si="33"/>
        <v>1</v>
      </c>
      <c r="AK78">
        <f>IF(R78=0,0,IFERROR(INDEX(criterio!$J$11:$J$22,R78)+0,0))</f>
        <v>0</v>
      </c>
      <c r="AL78" t="str">
        <f t="shared" si="34"/>
        <v>Previsión</v>
      </c>
      <c r="AM78" t="str">
        <f t="shared" si="35"/>
        <v/>
      </c>
    </row>
    <row r="79" spans="1:39" ht="31" customHeight="1">
      <c r="A79" s="5" t="s">
        <v>34</v>
      </c>
      <c r="B79" s="19">
        <v>46422</v>
      </c>
      <c r="C79" s="19">
        <v>46433</v>
      </c>
      <c r="D79" s="19">
        <v>46434</v>
      </c>
      <c r="E79" s="19">
        <v>46446</v>
      </c>
      <c r="F79" s="4" t="str">
        <f>IF(R79=0,"",INDEX(criterio!$B$11:$B$22,R79))</f>
        <v>kg</v>
      </c>
      <c r="G79" s="23">
        <f>IFERROR(IF(INDEX(criterio!$B$31:$B$111,MATCH(W79,criterio!$A$31:$A$111,0))=A79,INDEX(criterio!$C$31:$C$111,MATCH(W79,criterio!$A$31:$A$111,0)),""),"")</f>
        <v>5</v>
      </c>
      <c r="H79" s="25"/>
      <c r="I79" s="25"/>
      <c r="J79" s="27" t="str">
        <f t="shared" si="24"/>
        <v/>
      </c>
      <c r="K79" s="20"/>
      <c r="L79" s="21"/>
      <c r="M79" s="25"/>
      <c r="N79" s="25"/>
      <c r="O79" s="6" t="str">
        <f t="shared" si="25"/>
        <v>Previsión</v>
      </c>
      <c r="P79" s="6" t="str">
        <f>IFERROR(IF(AND(INDEX(criterio!$I$31:$I$111,MATCH(W79,criterio!$A$31:$A$111,0))=1,INDEX(criterio!$B$31:$B$111,MATCH(W79,criterio!$A$31:$A$111,0))=A79,ISNUMBER(B79),B79&gt;=criterio!$B$5,D79&lt;=criterio!$B$6,E79&gt;=criterio!$B$5),"Fuera de la previa del 20/12",""),"")</f>
        <v/>
      </c>
      <c r="Q79" s="22">
        <f t="shared" si="26"/>
        <v>46512</v>
      </c>
      <c r="R79">
        <f>IFERROR(MATCH(A79,criterio!$A$11:$A$22,0),0)</f>
        <v>1</v>
      </c>
      <c r="S79">
        <f>IF(R79=0,"",INDEX(criterio!$E$11:$E$22,R79))</f>
        <v>0</v>
      </c>
      <c r="T79">
        <f>IF(R79=0,"",INDEX(criterio!$C$11:$C$22,R79))</f>
        <v>90</v>
      </c>
      <c r="U79" t="str">
        <f>IF(R79=0,"",INDEX(criterio!$D$11:$D$22,R79))</f>
        <v>días</v>
      </c>
      <c r="V79">
        <f>IF(AND(ISNUMBER(B79),B79=Turno!$B$3,OR(AL79="Preparar",AL79="Completar")),MAX($V$8:V78)+1,0)</f>
        <v>0</v>
      </c>
      <c r="W79" t="s">
        <v>116</v>
      </c>
      <c r="Y79" t="str">
        <f>IF(R79=0,"",INDEX(criterio!$I$11:$I$22,R79))</f>
        <v>Freezer −18 °C.
Abierta en heladera: 3 días, sin superar vencimiento.</v>
      </c>
      <c r="Z79">
        <f t="shared" si="27"/>
        <v>5</v>
      </c>
      <c r="AA79" t="str">
        <f>IF(OR(A79="",COUNT(B79:C79)&lt;&gt;2),"",IF(OR(WEEKDAY(B79,2)&gt;5,COUNTIF(criterio!$B$25:$E$25,B79)&gt;0),"Cambiar día de elaboración",IF(OR(WEEKDAY(C79,2)&gt;5,COUNTIF(criterio!$B$25:$E$25,C79)&gt;0),"Cambiar día de retiro",IF(SUMIF($B$9:$B$128,B79,$AD$9:$AD$128)&gt;criterio!$D$26,"Más de dos recetas",IF(OR(A79="",NOT(ISNUMBER(B79))),"",IF(OR(NOT(ISNUMBER($Q$2)),NOT(ISNUMBER($Q$3)),$Q$2&lt;=0,$Q$3&lt;=0),"Revisar topes de carga",IF(SUMIFS($Z$9:$Z$128,$B$9:$B$128,B79,$F$9:$F$128,"kg")/$Q$2+SUMIFS($Z$9:$Z$128,$B$9:$B$128,B79,$F$9:$F$128,"L")/$Q$3&gt;1.000001,"Repartir carga del día","")))))))</f>
        <v/>
      </c>
      <c r="AB79" t="str">
        <f>IF(COUNTA(A79:E79,H79:I79,K79:N79)=0,"",IF(R79=0,"Elegir producto",IF(COUNT(B79:E79)&lt;&gt;4,"Completar fechas",IF(E79&lt;D79,"Revisar días de uso",IF(C79+criterio!$B$3&gt;D79,"El retiro llega tarde",IF(AND(N79&lt;&gt;"",OR(NOT(ISNUMBER(N79)),N79&lt;0)),"Revisar cantidad hecha",IF(AND(M79&lt;&gt;"",OR(NOT(ISNUMBER(M79)),M79&lt;0)),"Revisar cant. a adelantar",IF(AND(AND(ISBLANK(H79),L79="Adelanto"),NOT(ISNUMBER(AM79))),"Cargar cant. a adelantar",IF(AND(AND(ISBLANK(H79),L79="Adelanto"),I79&lt;&gt;"",OR(NOT(ISNUMBER(I79)),I79&lt;&gt;0)),"Revisar stock del adelanto",IF(AND(ISNUMBER(N79),N79&gt;0,L79&lt;&gt;"Sí",L79&lt;&gt;"Adelanto",N(M79)&lt;=0),"Hecho sin liberar",IF(AND(ISBLANK(H79),L79&lt;&gt;"Adelanto",OR(I79&lt;&gt;"",L79="Sí")),"Falta pedido real",IF(AND(H79&lt;&gt;"",OR(NOT(ISNUMBER(H79)),H79&lt;0)),"Revisar pedido",IF(AND(ISNUMBER(H79),H79=0,N(M79)&gt;0,N(N79)&gt;0,N(I79)=0),"Reasignar sobrante",IF(AND(ISNUMBER(H79),H79=0,OR(N79&gt;0,I79&gt;0)),"Revisar pedido y cantidades",IF(AND(ISNUMBER(H79),H79=0),"Sin pedido",IF(AND(ISNUMBER(H79),ISBLANK(I79)),"Falta anotar stock",IF(AND(I79&lt;&gt;"",OR(NOT(ISNUMBER(I79)),I79&lt;0,AND(ISNUMBER(H79),I79&gt;H79))),"Revisar stock asignado",IF(AND(ISNUMBER(I79),I79&gt;0,NOT(ISNUMBER(K79))),"Falta vencimiento de stock",IF(AND(ISNUMBER(I79),I79&gt;0,K79&lt;E79+criterio!$B$4),"El stock no cubre el uso",IF(AND(ISNUMBER(H79),ISNUMBER(I79),H79=I79,OR(N79="",N79=0)),"Cubierto con stock",IF(B79=criterio!$B$25,"Jornada bloqueada",IF(B79+S79&gt;C79,"No llega al retiro",IF(Q79&lt;E79,"Vence antes del último uso",IF(Q79&lt;E79+criterio!$B$4,"Falta margen de vida útil",IF(AND(ISBLANK(H79),L79&lt;&gt;"Adelanto",N(N79)&gt;0,N(M79)&gt;0),"Adelanto en pausa",IF(NOT(ISNUMBER(AM79)),"Previsión",IF(AND(ISNUMBER(H79),N(M79)&gt;0,N(N79)&gt;ROUND(H79-N(I79),3)),"Reasignar sobrante",IF(AND(ISNUMBER(N79),N79&gt;ROUND(AM79-N(I79),3)),"Revisar excedente",IF(AND(ISNUMBER(H79),L79&lt;&gt;"Sí",NOT(AND(N(M79)&gt;0,J79=0))),"Por confirmar",IF(J79=0,"Hecho",IF(AND(ISNUMBER(N79),N79&gt;0),"Completar","Preparar")))))))))))))))))))))))))))))))</f>
        <v>Previsión</v>
      </c>
      <c r="AC79">
        <f t="shared" si="28"/>
        <v>0</v>
      </c>
      <c r="AD79">
        <f>IF(OR(NOT(ISNUMBER(B79)),A79="",NOT(ISNUMBER(Z79)),Z79&lt;=0),0,IF(COUNTIFS($A$9:A79,A79,$B$9:B79,B79,$Z$9:Z79,"&gt;0")=1,1,0))</f>
        <v>1</v>
      </c>
      <c r="AE79">
        <f t="shared" si="29"/>
        <v>0</v>
      </c>
      <c r="AF79">
        <f t="shared" si="30"/>
        <v>0</v>
      </c>
      <c r="AG79" t="str">
        <f>IF(OR(AF79=0,AK79&lt;=0),"",IF(A79="Tsue","Retiro: ","Tanda: ")&amp;ROUND(AE79,3)&amp;" "&amp;F79&amp;". Acordar "&amp;INT(AE79/AK79)&amp;" o "&amp;ROUNDUP(AE79/AK79,0)&amp;IF(A79="Tsue"," envases de 5 L."," porciones de 500 g."))</f>
        <v/>
      </c>
      <c r="AH79">
        <f>IF(COUNTA(A79:E79,H79:I79,K79:L79,N79)=0,0,IF(OR(NOT(ISNUMBER(B79)),B79&lt;'Por semana'!$C$45,B79&gt;'Por semana'!$J$46+6),1,0))</f>
        <v>0</v>
      </c>
      <c r="AI79">
        <f t="shared" si="32"/>
        <v>5</v>
      </c>
      <c r="AJ79">
        <f t="shared" si="33"/>
        <v>1</v>
      </c>
      <c r="AK79">
        <f>IF(R79=0,0,IFERROR(INDEX(criterio!$J$11:$J$22,R79)+0,0))</f>
        <v>0</v>
      </c>
      <c r="AL79" t="str">
        <f t="shared" si="34"/>
        <v>Previsión</v>
      </c>
      <c r="AM79" t="str">
        <f t="shared" si="35"/>
        <v/>
      </c>
    </row>
    <row r="80" spans="1:39" ht="31" customHeight="1">
      <c r="A80" s="5" t="s">
        <v>42</v>
      </c>
      <c r="B80" s="19">
        <v>46423</v>
      </c>
      <c r="C80" s="19">
        <v>46433</v>
      </c>
      <c r="D80" s="19">
        <v>46434</v>
      </c>
      <c r="E80" s="19">
        <v>46446</v>
      </c>
      <c r="F80" s="4" t="str">
        <f>IF(R80=0,"",INDEX(criterio!$B$11:$B$22,R80))</f>
        <v>kg</v>
      </c>
      <c r="G80" s="23">
        <f>IFERROR(IF(INDEX(criterio!$B$31:$B$111,MATCH(W80,criterio!$A$31:$A$111,0))=A80,INDEX(criterio!$C$31:$C$111,MATCH(W80,criterio!$A$31:$A$111,0)),""),"")</f>
        <v>3</v>
      </c>
      <c r="H80" s="25"/>
      <c r="I80" s="25"/>
      <c r="J80" s="27" t="str">
        <f t="shared" si="24"/>
        <v/>
      </c>
      <c r="K80" s="20"/>
      <c r="L80" s="21"/>
      <c r="M80" s="25"/>
      <c r="N80" s="25"/>
      <c r="O80" s="6" t="str">
        <f t="shared" si="25"/>
        <v>Previsión</v>
      </c>
      <c r="P80" s="6" t="str">
        <f>IFERROR(IF(AND(INDEX(criterio!$I$31:$I$111,MATCH(W80,criterio!$A$31:$A$111,0))=1,INDEX(criterio!$B$31:$B$111,MATCH(W80,criterio!$A$31:$A$111,0))=A80,ISNUMBER(B80),B80&gt;=criterio!$B$5,D80&lt;=criterio!$B$6,E80&gt;=criterio!$B$5),"Fuera de la previa del 20/12",""),"")</f>
        <v/>
      </c>
      <c r="Q80" s="22">
        <f t="shared" si="26"/>
        <v>46483</v>
      </c>
      <c r="R80">
        <f>IFERROR(MATCH(A80,criterio!$A$11:$A$22,0),0)</f>
        <v>4</v>
      </c>
      <c r="S80">
        <f>IF(R80=0,"",INDEX(criterio!$E$11:$E$22,R80))</f>
        <v>0</v>
      </c>
      <c r="T80">
        <f>IF(R80=0,"",INDEX(criterio!$C$11:$C$22,R80))</f>
        <v>60</v>
      </c>
      <c r="U80" t="str">
        <f>IF(R80=0,"",INDEX(criterio!$D$11:$D$22,R80))</f>
        <v>días</v>
      </c>
      <c r="V80">
        <f>IF(AND(ISNUMBER(B80),B80=Turno!$B$3,OR(AL80="Preparar",AL80="Completar")),MAX($V$8:V79)+1,0)</f>
        <v>0</v>
      </c>
      <c r="W80" t="s">
        <v>117</v>
      </c>
      <c r="Y80" t="str">
        <f>IF(R80=0,"",INDEX(criterio!$I$11:$I$22,R80))</f>
        <v>Seco, cerrado y sin humedad.
Abierto: 7 días, sin superar vencimiento.</v>
      </c>
      <c r="Z80">
        <f t="shared" si="27"/>
        <v>3</v>
      </c>
      <c r="AA80" t="str">
        <f>IF(OR(A80="",COUNT(B80:C80)&lt;&gt;2),"",IF(OR(WEEKDAY(B80,2)&gt;5,COUNTIF(criterio!$B$25:$E$25,B80)&gt;0),"Cambiar día de elaboración",IF(OR(WEEKDAY(C80,2)&gt;5,COUNTIF(criterio!$B$25:$E$25,C80)&gt;0),"Cambiar día de retiro",IF(SUMIF($B$9:$B$128,B80,$AD$9:$AD$128)&gt;criterio!$D$26,"Más de dos recetas",IF(OR(A80="",NOT(ISNUMBER(B80))),"",IF(OR(NOT(ISNUMBER($Q$2)),NOT(ISNUMBER($Q$3)),$Q$2&lt;=0,$Q$3&lt;=0),"Revisar topes de carga",IF(SUMIFS($Z$9:$Z$128,$B$9:$B$128,B80,$F$9:$F$128,"kg")/$Q$2+SUMIFS($Z$9:$Z$128,$B$9:$B$128,B80,$F$9:$F$128,"L")/$Q$3&gt;1.000001,"Repartir carga del día","")))))))</f>
        <v/>
      </c>
      <c r="AB80" t="str">
        <f>IF(COUNTA(A80:E80,H80:I80,K80:N80)=0,"",IF(R80=0,"Elegir producto",IF(COUNT(B80:E80)&lt;&gt;4,"Completar fechas",IF(E80&lt;D80,"Revisar días de uso",IF(C80+criterio!$B$3&gt;D80,"El retiro llega tarde",IF(AND(N80&lt;&gt;"",OR(NOT(ISNUMBER(N80)),N80&lt;0)),"Revisar cantidad hecha",IF(AND(M80&lt;&gt;"",OR(NOT(ISNUMBER(M80)),M80&lt;0)),"Revisar cant. a adelantar",IF(AND(AND(ISBLANK(H80),L80="Adelanto"),NOT(ISNUMBER(AM80))),"Cargar cant. a adelantar",IF(AND(AND(ISBLANK(H80),L80="Adelanto"),I80&lt;&gt;"",OR(NOT(ISNUMBER(I80)),I80&lt;&gt;0)),"Revisar stock del adelanto",IF(AND(ISNUMBER(N80),N80&gt;0,L80&lt;&gt;"Sí",L80&lt;&gt;"Adelanto",N(M80)&lt;=0),"Hecho sin liberar",IF(AND(ISBLANK(H80),L80&lt;&gt;"Adelanto",OR(I80&lt;&gt;"",L80="Sí")),"Falta pedido real",IF(AND(H80&lt;&gt;"",OR(NOT(ISNUMBER(H80)),H80&lt;0)),"Revisar pedido",IF(AND(ISNUMBER(H80),H80=0,N(M80)&gt;0,N(N80)&gt;0,N(I80)=0),"Reasignar sobrante",IF(AND(ISNUMBER(H80),H80=0,OR(N80&gt;0,I80&gt;0)),"Revisar pedido y cantidades",IF(AND(ISNUMBER(H80),H80=0),"Sin pedido",IF(AND(ISNUMBER(H80),ISBLANK(I80)),"Falta anotar stock",IF(AND(I80&lt;&gt;"",OR(NOT(ISNUMBER(I80)),I80&lt;0,AND(ISNUMBER(H80),I80&gt;H80))),"Revisar stock asignado",IF(AND(ISNUMBER(I80),I80&gt;0,NOT(ISNUMBER(K80))),"Falta vencimiento de stock",IF(AND(ISNUMBER(I80),I80&gt;0,K80&lt;E80+criterio!$B$4),"El stock no cubre el uso",IF(AND(ISNUMBER(H80),ISNUMBER(I80),H80=I80,OR(N80="",N80=0)),"Cubierto con stock",IF(B80=criterio!$B$25,"Jornada bloqueada",IF(B80+S80&gt;C80,"No llega al retiro",IF(Q80&lt;E80,"Vence antes del último uso",IF(Q80&lt;E80+criterio!$B$4,"Falta margen de vida útil",IF(AND(ISBLANK(H80),L80&lt;&gt;"Adelanto",N(N80)&gt;0,N(M80)&gt;0),"Adelanto en pausa",IF(NOT(ISNUMBER(AM80)),"Previsión",IF(AND(ISNUMBER(H80),N(M80)&gt;0,N(N80)&gt;ROUND(H80-N(I80),3)),"Reasignar sobrante",IF(AND(ISNUMBER(N80),N80&gt;ROUND(AM80-N(I80),3)),"Revisar excedente",IF(AND(ISNUMBER(H80),L80&lt;&gt;"Sí",NOT(AND(N(M80)&gt;0,J80=0))),"Por confirmar",IF(J80=0,"Hecho",IF(AND(ISNUMBER(N80),N80&gt;0),"Completar","Preparar")))))))))))))))))))))))))))))))</f>
        <v>Previsión</v>
      </c>
      <c r="AC80">
        <f t="shared" si="28"/>
        <v>0</v>
      </c>
      <c r="AD80">
        <f>IF(OR(NOT(ISNUMBER(B80)),A80="",NOT(ISNUMBER(Z80)),Z80&lt;=0),0,IF(COUNTIFS($A$9:A80,A80,$B$9:B80,B80,$Z$9:Z80,"&gt;0")=1,1,0))</f>
        <v>1</v>
      </c>
      <c r="AE80">
        <f t="shared" si="29"/>
        <v>0</v>
      </c>
      <c r="AF80">
        <f t="shared" si="30"/>
        <v>0</v>
      </c>
      <c r="AG80" t="str">
        <f>IF(OR(AF80=0,AK80&lt;=0),"",IF(A80="Tsue","Retiro: ","Tanda: ")&amp;ROUND(AE80,3)&amp;" "&amp;F80&amp;". Acordar "&amp;INT(AE80/AK80)&amp;" o "&amp;ROUNDUP(AE80/AK80,0)&amp;IF(A80="Tsue"," envases de 5 L."," porciones de 500 g."))</f>
        <v/>
      </c>
      <c r="AH80">
        <f>IF(COUNTA(A80:E80,H80:I80,K80:L80,N80)=0,0,IF(OR(NOT(ISNUMBER(B80)),B80&lt;'Por semana'!$C$45,B80&gt;'Por semana'!$J$46+6),1,0))</f>
        <v>0</v>
      </c>
      <c r="AI80">
        <f t="shared" si="32"/>
        <v>3</v>
      </c>
      <c r="AJ80">
        <f t="shared" si="33"/>
        <v>1</v>
      </c>
      <c r="AK80">
        <f>IF(R80=0,0,IFERROR(INDEX(criterio!$J$11:$J$22,R80)+0,0))</f>
        <v>0</v>
      </c>
      <c r="AL80" t="str">
        <f t="shared" si="34"/>
        <v>Previsión</v>
      </c>
      <c r="AM80" t="str">
        <f t="shared" si="35"/>
        <v/>
      </c>
    </row>
    <row r="81" spans="1:39" ht="31" customHeight="1">
      <c r="A81" s="5" t="s">
        <v>37</v>
      </c>
      <c r="B81" s="19">
        <v>46423</v>
      </c>
      <c r="C81" s="19">
        <v>46433</v>
      </c>
      <c r="D81" s="19">
        <v>46434</v>
      </c>
      <c r="E81" s="19">
        <v>46446</v>
      </c>
      <c r="F81" s="4" t="str">
        <f>IF(R81=0,"",INDEX(criterio!$B$11:$B$22,R81))</f>
        <v>kg</v>
      </c>
      <c r="G81" s="23">
        <f>IFERROR(IF(INDEX(criterio!$B$31:$B$111,MATCH(W81,criterio!$A$31:$A$111,0))=A81,INDEX(criterio!$C$31:$C$111,MATCH(W81,criterio!$A$31:$A$111,0)),""),"")</f>
        <v>5</v>
      </c>
      <c r="H81" s="25"/>
      <c r="I81" s="25"/>
      <c r="J81" s="27" t="str">
        <f t="shared" si="24"/>
        <v/>
      </c>
      <c r="K81" s="20"/>
      <c r="L81" s="21"/>
      <c r="M81" s="25"/>
      <c r="N81" s="25"/>
      <c r="O81" s="6" t="str">
        <f t="shared" si="25"/>
        <v>Previsión</v>
      </c>
      <c r="P81" s="6" t="str">
        <f>IFERROR(IF(AND(INDEX(criterio!$I$31:$I$111,MATCH(W81,criterio!$A$31:$A$111,0))=1,INDEX(criterio!$B$31:$B$111,MATCH(W81,criterio!$A$31:$A$111,0))=A81,ISNUMBER(B81),B81&gt;=criterio!$B$5,D81&lt;=criterio!$B$6,E81&gt;=criterio!$B$5),"Fuera de la previa del 20/12",""),"")</f>
        <v/>
      </c>
      <c r="Q81" s="22">
        <f t="shared" si="26"/>
        <v>46513</v>
      </c>
      <c r="R81">
        <f>IFERROR(MATCH(A81,criterio!$A$11:$A$22,0),0)</f>
        <v>2</v>
      </c>
      <c r="S81">
        <f>IF(R81=0,"",INDEX(criterio!$E$11:$E$22,R81))</f>
        <v>0</v>
      </c>
      <c r="T81">
        <f>IF(R81=0,"",INDEX(criterio!$C$11:$C$22,R81))</f>
        <v>90</v>
      </c>
      <c r="U81" t="str">
        <f>IF(R81=0,"",INDEX(criterio!$D$11:$D$22,R81))</f>
        <v>días</v>
      </c>
      <c r="V81">
        <f>IF(AND(ISNUMBER(B81),B81=Turno!$B$3,OR(AL81="Preparar",AL81="Completar")),MAX($V$8:V80)+1,0)</f>
        <v>0</v>
      </c>
      <c r="W81" t="s">
        <v>118</v>
      </c>
      <c r="Y81" t="str">
        <f>IF(R81=0,"",INDEX(criterio!$I$11:$I$22,R81))</f>
        <v>Freezer −18 °C.
Abierta en heladera: 3 días, sin superar vencimiento.</v>
      </c>
      <c r="Z81">
        <f t="shared" si="27"/>
        <v>5</v>
      </c>
      <c r="AA81" t="str">
        <f>IF(OR(A81="",COUNT(B81:C81)&lt;&gt;2),"",IF(OR(WEEKDAY(B81,2)&gt;5,COUNTIF(criterio!$B$25:$E$25,B81)&gt;0),"Cambiar día de elaboración",IF(OR(WEEKDAY(C81,2)&gt;5,COUNTIF(criterio!$B$25:$E$25,C81)&gt;0),"Cambiar día de retiro",IF(SUMIF($B$9:$B$128,B81,$AD$9:$AD$128)&gt;criterio!$D$26,"Más de dos recetas",IF(OR(A81="",NOT(ISNUMBER(B81))),"",IF(OR(NOT(ISNUMBER($Q$2)),NOT(ISNUMBER($Q$3)),$Q$2&lt;=0,$Q$3&lt;=0),"Revisar topes de carga",IF(SUMIFS($Z$9:$Z$128,$B$9:$B$128,B81,$F$9:$F$128,"kg")/$Q$2+SUMIFS($Z$9:$Z$128,$B$9:$B$128,B81,$F$9:$F$128,"L")/$Q$3&gt;1.000001,"Repartir carga del día","")))))))</f>
        <v/>
      </c>
      <c r="AB81" t="str">
        <f>IF(COUNTA(A81:E81,H81:I81,K81:N81)=0,"",IF(R81=0,"Elegir producto",IF(COUNT(B81:E81)&lt;&gt;4,"Completar fechas",IF(E81&lt;D81,"Revisar días de uso",IF(C81+criterio!$B$3&gt;D81,"El retiro llega tarde",IF(AND(N81&lt;&gt;"",OR(NOT(ISNUMBER(N81)),N81&lt;0)),"Revisar cantidad hecha",IF(AND(M81&lt;&gt;"",OR(NOT(ISNUMBER(M81)),M81&lt;0)),"Revisar cant. a adelantar",IF(AND(AND(ISBLANK(H81),L81="Adelanto"),NOT(ISNUMBER(AM81))),"Cargar cant. a adelantar",IF(AND(AND(ISBLANK(H81),L81="Adelanto"),I81&lt;&gt;"",OR(NOT(ISNUMBER(I81)),I81&lt;&gt;0)),"Revisar stock del adelanto",IF(AND(ISNUMBER(N81),N81&gt;0,L81&lt;&gt;"Sí",L81&lt;&gt;"Adelanto",N(M81)&lt;=0),"Hecho sin liberar",IF(AND(ISBLANK(H81),L81&lt;&gt;"Adelanto",OR(I81&lt;&gt;"",L81="Sí")),"Falta pedido real",IF(AND(H81&lt;&gt;"",OR(NOT(ISNUMBER(H81)),H81&lt;0)),"Revisar pedido",IF(AND(ISNUMBER(H81),H81=0,N(M81)&gt;0,N(N81)&gt;0,N(I81)=0),"Reasignar sobrante",IF(AND(ISNUMBER(H81),H81=0,OR(N81&gt;0,I81&gt;0)),"Revisar pedido y cantidades",IF(AND(ISNUMBER(H81),H81=0),"Sin pedido",IF(AND(ISNUMBER(H81),ISBLANK(I81)),"Falta anotar stock",IF(AND(I81&lt;&gt;"",OR(NOT(ISNUMBER(I81)),I81&lt;0,AND(ISNUMBER(H81),I81&gt;H81))),"Revisar stock asignado",IF(AND(ISNUMBER(I81),I81&gt;0,NOT(ISNUMBER(K81))),"Falta vencimiento de stock",IF(AND(ISNUMBER(I81),I81&gt;0,K81&lt;E81+criterio!$B$4),"El stock no cubre el uso",IF(AND(ISNUMBER(H81),ISNUMBER(I81),H81=I81,OR(N81="",N81=0)),"Cubierto con stock",IF(B81=criterio!$B$25,"Jornada bloqueada",IF(B81+S81&gt;C81,"No llega al retiro",IF(Q81&lt;E81,"Vence antes del último uso",IF(Q81&lt;E81+criterio!$B$4,"Falta margen de vida útil",IF(AND(ISBLANK(H81),L81&lt;&gt;"Adelanto",N(N81)&gt;0,N(M81)&gt;0),"Adelanto en pausa",IF(NOT(ISNUMBER(AM81)),"Previsión",IF(AND(ISNUMBER(H81),N(M81)&gt;0,N(N81)&gt;ROUND(H81-N(I81),3)),"Reasignar sobrante",IF(AND(ISNUMBER(N81),N81&gt;ROUND(AM81-N(I81),3)),"Revisar excedente",IF(AND(ISNUMBER(H81),L81&lt;&gt;"Sí",NOT(AND(N(M81)&gt;0,J81=0))),"Por confirmar",IF(J81=0,"Hecho",IF(AND(ISNUMBER(N81),N81&gt;0),"Completar","Preparar")))))))))))))))))))))))))))))))</f>
        <v>Previsión</v>
      </c>
      <c r="AC81">
        <f t="shared" si="28"/>
        <v>0</v>
      </c>
      <c r="AD81">
        <f>IF(OR(NOT(ISNUMBER(B81)),A81="",NOT(ISNUMBER(Z81)),Z81&lt;=0),0,IF(COUNTIFS($A$9:A81,A81,$B$9:B81,B81,$Z$9:Z81,"&gt;0")=1,1,0))</f>
        <v>1</v>
      </c>
      <c r="AE81">
        <f t="shared" si="29"/>
        <v>0</v>
      </c>
      <c r="AF81">
        <f t="shared" si="30"/>
        <v>0</v>
      </c>
      <c r="AG81" t="str">
        <f>IF(OR(AF81=0,AK81&lt;=0),"",IF(A81="Tsue","Retiro: ","Tanda: ")&amp;ROUND(AE81,3)&amp;" "&amp;F81&amp;". Acordar "&amp;INT(AE81/AK81)&amp;" o "&amp;ROUNDUP(AE81/AK81,0)&amp;IF(A81="Tsue"," envases de 5 L."," porciones de 500 g."))</f>
        <v/>
      </c>
      <c r="AH81">
        <f>IF(COUNTA(A81:E81,H81:I81,K81:L81,N81)=0,0,IF(OR(NOT(ISNUMBER(B81)),B81&lt;'Por semana'!$C$45,B81&gt;'Por semana'!$J$46+6),1,0))</f>
        <v>0</v>
      </c>
      <c r="AI81">
        <f t="shared" si="32"/>
        <v>5</v>
      </c>
      <c r="AJ81">
        <f t="shared" si="33"/>
        <v>1</v>
      </c>
      <c r="AK81">
        <f>IF(R81=0,0,IFERROR(INDEX(criterio!$J$11:$J$22,R81)+0,0))</f>
        <v>0</v>
      </c>
      <c r="AL81" t="str">
        <f t="shared" si="34"/>
        <v>Previsión</v>
      </c>
      <c r="AM81" t="str">
        <f t="shared" si="35"/>
        <v/>
      </c>
    </row>
    <row r="82" spans="1:39" ht="31" customHeight="1">
      <c r="A82" s="5" t="s">
        <v>65</v>
      </c>
      <c r="B82" s="19">
        <v>46426</v>
      </c>
      <c r="C82" s="19">
        <v>46433</v>
      </c>
      <c r="D82" s="19">
        <v>46434</v>
      </c>
      <c r="E82" s="19">
        <v>46446</v>
      </c>
      <c r="F82" s="4" t="str">
        <f>IF(R82=0,"",INDEX(criterio!$B$11:$B$22,R82))</f>
        <v>kg</v>
      </c>
      <c r="G82" s="23">
        <f>IFERROR(IF(INDEX(criterio!$B$31:$B$111,MATCH(W82,criterio!$A$31:$A$111,0))=A82,INDEX(criterio!$C$31:$C$111,MATCH(W82,criterio!$A$31:$A$111,0)),""),"")</f>
        <v>10</v>
      </c>
      <c r="H82" s="25"/>
      <c r="I82" s="25"/>
      <c r="J82" s="27" t="str">
        <f t="shared" si="24"/>
        <v/>
      </c>
      <c r="K82" s="20"/>
      <c r="L82" s="21"/>
      <c r="M82" s="25"/>
      <c r="N82" s="25"/>
      <c r="O82" s="6" t="str">
        <f t="shared" si="25"/>
        <v>Previsión</v>
      </c>
      <c r="P82" s="6" t="str">
        <f>IFERROR(IF(AND(INDEX(criterio!$I$31:$I$111,MATCH(W82,criterio!$A$31:$A$111,0))=1,INDEX(criterio!$B$31:$B$111,MATCH(W82,criterio!$A$31:$A$111,0))=A82,ISNUMBER(B82),B82&gt;=criterio!$B$5,D82&lt;=criterio!$B$6,E82&gt;=criterio!$B$5),"Fuera de la previa del 20/12",""),"")</f>
        <v/>
      </c>
      <c r="Q82" s="22">
        <f t="shared" si="26"/>
        <v>46456</v>
      </c>
      <c r="R82">
        <f>IFERROR(MATCH(A82,criterio!$A$11:$A$22,0),0)</f>
        <v>7</v>
      </c>
      <c r="S82">
        <f>IF(R82=0,"",INDEX(criterio!$E$11:$E$22,R82))</f>
        <v>1</v>
      </c>
      <c r="T82">
        <f>IF(R82=0,"",INDEX(criterio!$C$11:$C$22,R82))</f>
        <v>30</v>
      </c>
      <c r="U82" t="str">
        <f>IF(R82=0,"",INDEX(criterio!$D$11:$D$22,R82))</f>
        <v>días</v>
      </c>
      <c r="V82">
        <f>IF(AND(ISNUMBER(B82),B82=Turno!$B$3,OR(AL82="Preparar",AL82="Completar")),MAX($V$8:V81)+1,0)</f>
        <v>0</v>
      </c>
      <c r="W82" t="s">
        <v>119</v>
      </c>
      <c r="Y82" t="str">
        <f>IF(R82=0,"",INDEX(criterio!$I$11:$I$22,R82))</f>
        <v>Heladera 0–5 °C. Marinar 24 h.
Abierto: 7 días, sin superar vencimiento.</v>
      </c>
      <c r="Z82">
        <f t="shared" si="27"/>
        <v>10</v>
      </c>
      <c r="AA82" t="str">
        <f>IF(OR(A82="",COUNT(B82:C82)&lt;&gt;2),"",IF(OR(WEEKDAY(B82,2)&gt;5,COUNTIF(criterio!$B$25:$E$25,B82)&gt;0),"Cambiar día de elaboración",IF(OR(WEEKDAY(C82,2)&gt;5,COUNTIF(criterio!$B$25:$E$25,C82)&gt;0),"Cambiar día de retiro",IF(SUMIF($B$9:$B$128,B82,$AD$9:$AD$128)&gt;criterio!$D$26,"Más de dos recetas",IF(OR(A82="",NOT(ISNUMBER(B82))),"",IF(OR(NOT(ISNUMBER($Q$2)),NOT(ISNUMBER($Q$3)),$Q$2&lt;=0,$Q$3&lt;=0),"Revisar topes de carga",IF(SUMIFS($Z$9:$Z$128,$B$9:$B$128,B82,$F$9:$F$128,"kg")/$Q$2+SUMIFS($Z$9:$Z$128,$B$9:$B$128,B82,$F$9:$F$128,"L")/$Q$3&gt;1.000001,"Repartir carga del día","")))))))</f>
        <v/>
      </c>
      <c r="AB82" t="str">
        <f>IF(COUNTA(A82:E82,H82:I82,K82:N82)=0,"",IF(R82=0,"Elegir producto",IF(COUNT(B82:E82)&lt;&gt;4,"Completar fechas",IF(E82&lt;D82,"Revisar días de uso",IF(C82+criterio!$B$3&gt;D82,"El retiro llega tarde",IF(AND(N82&lt;&gt;"",OR(NOT(ISNUMBER(N82)),N82&lt;0)),"Revisar cantidad hecha",IF(AND(M82&lt;&gt;"",OR(NOT(ISNUMBER(M82)),M82&lt;0)),"Revisar cant. a adelantar",IF(AND(AND(ISBLANK(H82),L82="Adelanto"),NOT(ISNUMBER(AM82))),"Cargar cant. a adelantar",IF(AND(AND(ISBLANK(H82),L82="Adelanto"),I82&lt;&gt;"",OR(NOT(ISNUMBER(I82)),I82&lt;&gt;0)),"Revisar stock del adelanto",IF(AND(ISNUMBER(N82),N82&gt;0,L82&lt;&gt;"Sí",L82&lt;&gt;"Adelanto",N(M82)&lt;=0),"Hecho sin liberar",IF(AND(ISBLANK(H82),L82&lt;&gt;"Adelanto",OR(I82&lt;&gt;"",L82="Sí")),"Falta pedido real",IF(AND(H82&lt;&gt;"",OR(NOT(ISNUMBER(H82)),H82&lt;0)),"Revisar pedido",IF(AND(ISNUMBER(H82),H82=0,N(M82)&gt;0,N(N82)&gt;0,N(I82)=0),"Reasignar sobrante",IF(AND(ISNUMBER(H82),H82=0,OR(N82&gt;0,I82&gt;0)),"Revisar pedido y cantidades",IF(AND(ISNUMBER(H82),H82=0),"Sin pedido",IF(AND(ISNUMBER(H82),ISBLANK(I82)),"Falta anotar stock",IF(AND(I82&lt;&gt;"",OR(NOT(ISNUMBER(I82)),I82&lt;0,AND(ISNUMBER(H82),I82&gt;H82))),"Revisar stock asignado",IF(AND(ISNUMBER(I82),I82&gt;0,NOT(ISNUMBER(K82))),"Falta vencimiento de stock",IF(AND(ISNUMBER(I82),I82&gt;0,K82&lt;E82+criterio!$B$4),"El stock no cubre el uso",IF(AND(ISNUMBER(H82),ISNUMBER(I82),H82=I82,OR(N82="",N82=0)),"Cubierto con stock",IF(B82=criterio!$B$25,"Jornada bloqueada",IF(B82+S82&gt;C82,"No llega al retiro",IF(Q82&lt;E82,"Vence antes del último uso",IF(Q82&lt;E82+criterio!$B$4,"Falta margen de vida útil",IF(AND(ISBLANK(H82),L82&lt;&gt;"Adelanto",N(N82)&gt;0,N(M82)&gt;0),"Adelanto en pausa",IF(NOT(ISNUMBER(AM82)),"Previsión",IF(AND(ISNUMBER(H82),N(M82)&gt;0,N(N82)&gt;ROUND(H82-N(I82),3)),"Reasignar sobrante",IF(AND(ISNUMBER(N82),N82&gt;ROUND(AM82-N(I82),3)),"Revisar excedente",IF(AND(ISNUMBER(H82),L82&lt;&gt;"Sí",NOT(AND(N(M82)&gt;0,J82=0))),"Por confirmar",IF(J82=0,"Hecho",IF(AND(ISNUMBER(N82),N82&gt;0),"Completar","Preparar")))))))))))))))))))))))))))))))</f>
        <v>Previsión</v>
      </c>
      <c r="AC82">
        <f t="shared" si="28"/>
        <v>0</v>
      </c>
      <c r="AD82">
        <f>IF(OR(NOT(ISNUMBER(B82)),A82="",NOT(ISNUMBER(Z82)),Z82&lt;=0),0,IF(COUNTIFS($A$9:A82,A82,$B$9:B82,B82,$Z$9:Z82,"&gt;0")=1,1,0))</f>
        <v>1</v>
      </c>
      <c r="AE82">
        <f t="shared" si="29"/>
        <v>0</v>
      </c>
      <c r="AF82">
        <f t="shared" si="30"/>
        <v>0</v>
      </c>
      <c r="AG82" t="str">
        <f>IF(OR(AF82=0,AK82&lt;=0),"",IF(A82="Tsue","Retiro: ","Tanda: ")&amp;ROUND(AE82,3)&amp;" "&amp;F82&amp;". Acordar "&amp;INT(AE82/AK82)&amp;" o "&amp;ROUNDUP(AE82/AK82,0)&amp;IF(A82="Tsue"," envases de 5 L."," porciones de 500 g."))</f>
        <v/>
      </c>
      <c r="AH82">
        <f>IF(COUNTA(A82:E82,H82:I82,K82:L82,N82)=0,0,IF(OR(NOT(ISNUMBER(B82)),B82&lt;'Por semana'!$C$45,B82&gt;'Por semana'!$J$46+6),1,0))</f>
        <v>0</v>
      </c>
      <c r="AI82">
        <f t="shared" si="32"/>
        <v>10</v>
      </c>
      <c r="AJ82">
        <f t="shared" si="33"/>
        <v>1</v>
      </c>
      <c r="AK82">
        <f>IF(R82=0,0,IFERROR(INDEX(criterio!$J$11:$J$22,R82)+0,0))</f>
        <v>0</v>
      </c>
      <c r="AL82" t="str">
        <f t="shared" si="34"/>
        <v>Previsión</v>
      </c>
      <c r="AM82" t="str">
        <f t="shared" si="35"/>
        <v/>
      </c>
    </row>
    <row r="83" spans="1:39" ht="31" customHeight="1">
      <c r="A83" s="5" t="s">
        <v>40</v>
      </c>
      <c r="B83" s="19">
        <v>46427</v>
      </c>
      <c r="C83" s="19">
        <v>46433</v>
      </c>
      <c r="D83" s="19">
        <v>46434</v>
      </c>
      <c r="E83" s="19">
        <v>46446</v>
      </c>
      <c r="F83" s="4" t="str">
        <f>IF(R83=0,"",INDEX(criterio!$B$11:$B$22,R83))</f>
        <v>L</v>
      </c>
      <c r="G83" s="24">
        <f>IFERROR(IF(INDEX(criterio!$B$31:$B$111,MATCH(W83,criterio!$A$31:$A$111,0))=A83,INDEX(criterio!$C$31:$C$111,MATCH(W83,criterio!$A$31:$A$111,0)),""),"")</f>
        <v>30</v>
      </c>
      <c r="H83" s="26"/>
      <c r="I83" s="26"/>
      <c r="J83" s="28" t="str">
        <f t="shared" si="24"/>
        <v/>
      </c>
      <c r="K83" s="20"/>
      <c r="L83" s="21"/>
      <c r="M83" s="26"/>
      <c r="N83" s="26"/>
      <c r="O83" s="6" t="str">
        <f t="shared" si="25"/>
        <v>Previsión</v>
      </c>
      <c r="P83" s="6" t="str">
        <f>IFERROR(IF(AND(INDEX(criterio!$I$31:$I$111,MATCH(W83,criterio!$A$31:$A$111,0))=1,INDEX(criterio!$B$31:$B$111,MATCH(W83,criterio!$A$31:$A$111,0))=A83,ISNUMBER(B83),B83&gt;=criterio!$B$5,D83&lt;=criterio!$B$6,E83&gt;=criterio!$B$5),"Fuera de la previa del 20/12",""),"")</f>
        <v/>
      </c>
      <c r="Q83" s="22">
        <f t="shared" si="26"/>
        <v>46455</v>
      </c>
      <c r="R83">
        <f>IFERROR(MATCH(A83,criterio!$A$11:$A$22,0),0)</f>
        <v>8</v>
      </c>
      <c r="S83">
        <f>IF(R83=0,"",INDEX(criterio!$E$11:$E$22,R83))</f>
        <v>0</v>
      </c>
      <c r="T83">
        <f>IF(R83=0,"",INDEX(criterio!$C$11:$C$22,R83))</f>
        <v>1</v>
      </c>
      <c r="U83" t="str">
        <f>IF(R83=0,"",INDEX(criterio!$D$11:$D$22,R83))</f>
        <v>mes</v>
      </c>
      <c r="V83">
        <f>IF(AND(ISNUMBER(B83),B83=Turno!$B$3,OR(AL83="Preparar",AL83="Completar")),MAX($V$8:V82)+1,0)</f>
        <v>0</v>
      </c>
      <c r="W83" t="s">
        <v>120</v>
      </c>
      <c r="Y83" t="str">
        <f>IF(R83=0,"",INDEX(criterio!$I$11:$I$22,R83))</f>
        <v>Lugar fresco y seco, 15–30 °C.
Proteger de luz y calor.</v>
      </c>
      <c r="Z83">
        <f t="shared" si="27"/>
        <v>30</v>
      </c>
      <c r="AA83" t="str">
        <f>IF(OR(A83="",COUNT(B83:C83)&lt;&gt;2),"",IF(OR(WEEKDAY(B83,2)&gt;5,COUNTIF(criterio!$B$25:$E$25,B83)&gt;0),"Cambiar día de elaboración",IF(OR(WEEKDAY(C83,2)&gt;5,COUNTIF(criterio!$B$25:$E$25,C83)&gt;0),"Cambiar día de retiro",IF(SUMIF($B$9:$B$128,B83,$AD$9:$AD$128)&gt;criterio!$D$26,"Más de dos recetas",IF(OR(A83="",NOT(ISNUMBER(B83))),"",IF(OR(NOT(ISNUMBER($Q$2)),NOT(ISNUMBER($Q$3)),$Q$2&lt;=0,$Q$3&lt;=0),"Revisar topes de carga",IF(SUMIFS($Z$9:$Z$128,$B$9:$B$128,B83,$F$9:$F$128,"kg")/$Q$2+SUMIFS($Z$9:$Z$128,$B$9:$B$128,B83,$F$9:$F$128,"L")/$Q$3&gt;1.000001,"Repartir carga del día","")))))))</f>
        <v/>
      </c>
      <c r="AB83" t="str">
        <f>IF(COUNTA(A83:E83,H83:I83,K83:N83)=0,"",IF(R83=0,"Elegir producto",IF(COUNT(B83:E83)&lt;&gt;4,"Completar fechas",IF(E83&lt;D83,"Revisar días de uso",IF(C83+criterio!$B$3&gt;D83,"El retiro llega tarde",IF(AND(N83&lt;&gt;"",OR(NOT(ISNUMBER(N83)),N83&lt;0)),"Revisar cantidad hecha",IF(AND(M83&lt;&gt;"",OR(NOT(ISNUMBER(M83)),M83&lt;0)),"Revisar cant. a adelantar",IF(AND(AND(ISBLANK(H83),L83="Adelanto"),NOT(ISNUMBER(AM83))),"Cargar cant. a adelantar",IF(AND(AND(ISBLANK(H83),L83="Adelanto"),I83&lt;&gt;"",OR(NOT(ISNUMBER(I83)),I83&lt;&gt;0)),"Revisar stock del adelanto",IF(AND(ISNUMBER(N83),N83&gt;0,L83&lt;&gt;"Sí",L83&lt;&gt;"Adelanto",N(M83)&lt;=0),"Hecho sin liberar",IF(AND(ISBLANK(H83),L83&lt;&gt;"Adelanto",OR(I83&lt;&gt;"",L83="Sí")),"Falta pedido real",IF(AND(H83&lt;&gt;"",OR(NOT(ISNUMBER(H83)),H83&lt;0)),"Revisar pedido",IF(AND(ISNUMBER(H83),H83=0,N(M83)&gt;0,N(N83)&gt;0,N(I83)=0),"Reasignar sobrante",IF(AND(ISNUMBER(H83),H83=0,OR(N83&gt;0,I83&gt;0)),"Revisar pedido y cantidades",IF(AND(ISNUMBER(H83),H83=0),"Sin pedido",IF(AND(ISNUMBER(H83),ISBLANK(I83)),"Falta anotar stock",IF(AND(I83&lt;&gt;"",OR(NOT(ISNUMBER(I83)),I83&lt;0,AND(ISNUMBER(H83),I83&gt;H83))),"Revisar stock asignado",IF(AND(ISNUMBER(I83),I83&gt;0,NOT(ISNUMBER(K83))),"Falta vencimiento de stock",IF(AND(ISNUMBER(I83),I83&gt;0,K83&lt;E83+criterio!$B$4),"El stock no cubre el uso",IF(AND(ISNUMBER(H83),ISNUMBER(I83),H83=I83,OR(N83="",N83=0)),"Cubierto con stock",IF(B83=criterio!$B$25,"Jornada bloqueada",IF(B83+S83&gt;C83,"No llega al retiro",IF(Q83&lt;E83,"Vence antes del último uso",IF(Q83&lt;E83+criterio!$B$4,"Falta margen de vida útil",IF(AND(ISBLANK(H83),L83&lt;&gt;"Adelanto",N(N83)&gt;0,N(M83)&gt;0),"Adelanto en pausa",IF(NOT(ISNUMBER(AM83)),"Previsión",IF(AND(ISNUMBER(H83),N(M83)&gt;0,N(N83)&gt;ROUND(H83-N(I83),3)),"Reasignar sobrante",IF(AND(ISNUMBER(N83),N83&gt;ROUND(AM83-N(I83),3)),"Revisar excedente",IF(AND(ISNUMBER(H83),L83&lt;&gt;"Sí",NOT(AND(N(M83)&gt;0,J83=0))),"Por confirmar",IF(J83=0,"Hecho",IF(AND(ISNUMBER(N83),N83&gt;0),"Completar","Preparar")))))))))))))))))))))))))))))))</f>
        <v>Previsión</v>
      </c>
      <c r="AC83">
        <f t="shared" si="28"/>
        <v>0</v>
      </c>
      <c r="AD83">
        <f>IF(OR(NOT(ISNUMBER(B83)),A83="",NOT(ISNUMBER(Z83)),Z83&lt;=0),0,IF(COUNTIFS($A$9:A83,A83,$B$9:B83,B83,$Z$9:Z83,"&gt;0")=1,1,0))</f>
        <v>1</v>
      </c>
      <c r="AE83">
        <f t="shared" si="29"/>
        <v>0</v>
      </c>
      <c r="AF83">
        <f t="shared" si="30"/>
        <v>0</v>
      </c>
      <c r="AG83" t="str">
        <f>IF(OR(AF83=0,AK83&lt;=0),"",IF(A83="Tsue","Retiro: ","Tanda: ")&amp;ROUND(AE83,3)&amp;" "&amp;F83&amp;". Acordar "&amp;INT(AE83/AK83)&amp;" o "&amp;ROUNDUP(AE83/AK83,0)&amp;IF(A83="Tsue"," envases de 5 L."," porciones de 500 g."))</f>
        <v/>
      </c>
      <c r="AH83">
        <f>IF(COUNTA(A83:E83,H83:I83,K83:L83,N83)=0,0,IF(OR(NOT(ISNUMBER(B83)),B83&lt;'Por semana'!$C$45,B83&gt;'Por semana'!$J$46+6),1,0))</f>
        <v>0</v>
      </c>
      <c r="AI83">
        <f t="shared" si="32"/>
        <v>30</v>
      </c>
      <c r="AJ83">
        <f t="shared" si="33"/>
        <v>1</v>
      </c>
      <c r="AK83">
        <f>IF(R83=0,0,IFERROR(INDEX(criterio!$J$11:$J$22,R83)+0,0))</f>
        <v>5</v>
      </c>
      <c r="AL83" t="str">
        <f t="shared" si="34"/>
        <v>Previsión</v>
      </c>
      <c r="AM83" t="str">
        <f t="shared" si="35"/>
        <v/>
      </c>
    </row>
    <row r="84" spans="1:39" ht="31" customHeight="1">
      <c r="A84" s="5" t="s">
        <v>53</v>
      </c>
      <c r="B84" s="19">
        <v>46428</v>
      </c>
      <c r="C84" s="19">
        <v>46433</v>
      </c>
      <c r="D84" s="19">
        <v>46434</v>
      </c>
      <c r="E84" s="19">
        <v>46446</v>
      </c>
      <c r="F84" s="4" t="str">
        <f>IF(R84=0,"",INDEX(criterio!$B$11:$B$22,R84))</f>
        <v>kg</v>
      </c>
      <c r="G84" s="23">
        <f>IFERROR(IF(INDEX(criterio!$B$31:$B$111,MATCH(W84,criterio!$A$31:$A$111,0))=A84,INDEX(criterio!$C$31:$C$111,MATCH(W84,criterio!$A$31:$A$111,0)),""),"")</f>
        <v>8</v>
      </c>
      <c r="H84" s="25"/>
      <c r="I84" s="25"/>
      <c r="J84" s="27" t="str">
        <f t="shared" si="24"/>
        <v/>
      </c>
      <c r="K84" s="20"/>
      <c r="L84" s="21"/>
      <c r="M84" s="25"/>
      <c r="N84" s="25"/>
      <c r="O84" s="6" t="str">
        <f t="shared" si="25"/>
        <v>Previsión</v>
      </c>
      <c r="P84" s="6" t="str">
        <f>IFERROR(IF(AND(INDEX(criterio!$I$31:$I$111,MATCH(W84,criterio!$A$31:$A$111,0))=1,INDEX(criterio!$B$31:$B$111,MATCH(W84,criterio!$A$31:$A$111,0))=A84,ISNUMBER(B84),B84&gt;=criterio!$B$5,D84&lt;=criterio!$B$6,E84&gt;=criterio!$B$5),"Fuera de la previa del 20/12",""),"")</f>
        <v/>
      </c>
      <c r="Q84" s="22">
        <f t="shared" si="26"/>
        <v>46458</v>
      </c>
      <c r="R84">
        <f>IFERROR(MATCH(A84,criterio!$A$11:$A$22,0),0)</f>
        <v>6</v>
      </c>
      <c r="S84">
        <f>IF(R84=0,"",INDEX(criterio!$E$11:$E$22,R84))</f>
        <v>0</v>
      </c>
      <c r="T84">
        <f>IF(R84=0,"",INDEX(criterio!$C$11:$C$22,R84))</f>
        <v>30</v>
      </c>
      <c r="U84" t="str">
        <f>IF(R84=0,"",INDEX(criterio!$D$11:$D$22,R84))</f>
        <v>días</v>
      </c>
      <c r="V84">
        <f>IF(AND(ISNUMBER(B84),B84=Turno!$B$3,OR(AL84="Preparar",AL84="Completar")),MAX($V$8:V83)+1,0)</f>
        <v>0</v>
      </c>
      <c r="W84" t="s">
        <v>121</v>
      </c>
      <c r="Y84" t="str">
        <f>IF(R84=0,"",INDEX(criterio!$I$11:$I$22,R84))</f>
        <v>Heladera 0–5 °C.
Abierto en topinera: 7 días, sin superar vencimiento.</v>
      </c>
      <c r="Z84">
        <f t="shared" si="27"/>
        <v>8</v>
      </c>
      <c r="AA84" t="str">
        <f>IF(OR(A84="",COUNT(B84:C84)&lt;&gt;2),"",IF(OR(WEEKDAY(B84,2)&gt;5,COUNTIF(criterio!$B$25:$E$25,B84)&gt;0),"Cambiar día de elaboración",IF(OR(WEEKDAY(C84,2)&gt;5,COUNTIF(criterio!$B$25:$E$25,C84)&gt;0),"Cambiar día de retiro",IF(SUMIF($B$9:$B$128,B84,$AD$9:$AD$128)&gt;criterio!$D$26,"Más de dos recetas",IF(OR(A84="",NOT(ISNUMBER(B84))),"",IF(OR(NOT(ISNUMBER($Q$2)),NOT(ISNUMBER($Q$3)),$Q$2&lt;=0,$Q$3&lt;=0),"Revisar topes de carga",IF(SUMIFS($Z$9:$Z$128,$B$9:$B$128,B84,$F$9:$F$128,"kg")/$Q$2+SUMIFS($Z$9:$Z$128,$B$9:$B$128,B84,$F$9:$F$128,"L")/$Q$3&gt;1.000001,"Repartir carga del día","")))))))</f>
        <v/>
      </c>
      <c r="AB84" t="str">
        <f>IF(COUNTA(A84:E84,H84:I84,K84:N84)=0,"",IF(R84=0,"Elegir producto",IF(COUNT(B84:E84)&lt;&gt;4,"Completar fechas",IF(E84&lt;D84,"Revisar días de uso",IF(C84+criterio!$B$3&gt;D84,"El retiro llega tarde",IF(AND(N84&lt;&gt;"",OR(NOT(ISNUMBER(N84)),N84&lt;0)),"Revisar cantidad hecha",IF(AND(M84&lt;&gt;"",OR(NOT(ISNUMBER(M84)),M84&lt;0)),"Revisar cant. a adelantar",IF(AND(AND(ISBLANK(H84),L84="Adelanto"),NOT(ISNUMBER(AM84))),"Cargar cant. a adelantar",IF(AND(AND(ISBLANK(H84),L84="Adelanto"),I84&lt;&gt;"",OR(NOT(ISNUMBER(I84)),I84&lt;&gt;0)),"Revisar stock del adelanto",IF(AND(ISNUMBER(N84),N84&gt;0,L84&lt;&gt;"Sí",L84&lt;&gt;"Adelanto",N(M84)&lt;=0),"Hecho sin liberar",IF(AND(ISBLANK(H84),L84&lt;&gt;"Adelanto",OR(I84&lt;&gt;"",L84="Sí")),"Falta pedido real",IF(AND(H84&lt;&gt;"",OR(NOT(ISNUMBER(H84)),H84&lt;0)),"Revisar pedido",IF(AND(ISNUMBER(H84),H84=0,N(M84)&gt;0,N(N84)&gt;0,N(I84)=0),"Reasignar sobrante",IF(AND(ISNUMBER(H84),H84=0,OR(N84&gt;0,I84&gt;0)),"Revisar pedido y cantidades",IF(AND(ISNUMBER(H84),H84=0),"Sin pedido",IF(AND(ISNUMBER(H84),ISBLANK(I84)),"Falta anotar stock",IF(AND(I84&lt;&gt;"",OR(NOT(ISNUMBER(I84)),I84&lt;0,AND(ISNUMBER(H84),I84&gt;H84))),"Revisar stock asignado",IF(AND(ISNUMBER(I84),I84&gt;0,NOT(ISNUMBER(K84))),"Falta vencimiento de stock",IF(AND(ISNUMBER(I84),I84&gt;0,K84&lt;E84+criterio!$B$4),"El stock no cubre el uso",IF(AND(ISNUMBER(H84),ISNUMBER(I84),H84=I84,OR(N84="",N84=0)),"Cubierto con stock",IF(B84=criterio!$B$25,"Jornada bloqueada",IF(B84+S84&gt;C84,"No llega al retiro",IF(Q84&lt;E84,"Vence antes del último uso",IF(Q84&lt;E84+criterio!$B$4,"Falta margen de vida útil",IF(AND(ISBLANK(H84),L84&lt;&gt;"Adelanto",N(N84)&gt;0,N(M84)&gt;0),"Adelanto en pausa",IF(NOT(ISNUMBER(AM84)),"Previsión",IF(AND(ISNUMBER(H84),N(M84)&gt;0,N(N84)&gt;ROUND(H84-N(I84),3)),"Reasignar sobrante",IF(AND(ISNUMBER(N84),N84&gt;ROUND(AM84-N(I84),3)),"Revisar excedente",IF(AND(ISNUMBER(H84),L84&lt;&gt;"Sí",NOT(AND(N(M84)&gt;0,J84=0))),"Por confirmar",IF(J84=0,"Hecho",IF(AND(ISNUMBER(N84),N84&gt;0),"Completar","Preparar")))))))))))))))))))))))))))))))</f>
        <v>Previsión</v>
      </c>
      <c r="AC84">
        <f t="shared" si="28"/>
        <v>0</v>
      </c>
      <c r="AD84">
        <f>IF(OR(NOT(ISNUMBER(B84)),A84="",NOT(ISNUMBER(Z84)),Z84&lt;=0),0,IF(COUNTIFS($A$9:A84,A84,$B$9:B84,B84,$Z$9:Z84,"&gt;0")=1,1,0))</f>
        <v>1</v>
      </c>
      <c r="AE84">
        <f t="shared" si="29"/>
        <v>0</v>
      </c>
      <c r="AF84">
        <f t="shared" si="30"/>
        <v>0</v>
      </c>
      <c r="AG84" t="str">
        <f>IF(OR(AF84=0,AK84&lt;=0),"",IF(A84="Tsue","Retiro: ","Tanda: ")&amp;ROUND(AE84,3)&amp;" "&amp;F84&amp;". Acordar "&amp;INT(AE84/AK84)&amp;" o "&amp;ROUNDUP(AE84/AK84,0)&amp;IF(A84="Tsue"," envases de 5 L."," porciones de 500 g."))</f>
        <v/>
      </c>
      <c r="AH84">
        <f>IF(COUNTA(A84:E84,H84:I84,K84:L84,N84)=0,0,IF(OR(NOT(ISNUMBER(B84)),B84&lt;'Por semana'!$C$45,B84&gt;'Por semana'!$J$46+6),1,0))</f>
        <v>0</v>
      </c>
      <c r="AI84">
        <f t="shared" si="32"/>
        <v>8</v>
      </c>
      <c r="AJ84">
        <f t="shared" si="33"/>
        <v>1</v>
      </c>
      <c r="AK84">
        <f>IF(R84=0,0,IFERROR(INDEX(criterio!$J$11:$J$22,R84)+0,0))</f>
        <v>0</v>
      </c>
      <c r="AL84" t="str">
        <f t="shared" si="34"/>
        <v>Previsión</v>
      </c>
      <c r="AM84" t="str">
        <f t="shared" si="35"/>
        <v/>
      </c>
    </row>
    <row r="85" spans="1:39" ht="31" customHeight="1">
      <c r="A85" s="5" t="s">
        <v>49</v>
      </c>
      <c r="B85" s="19">
        <v>46429</v>
      </c>
      <c r="C85" s="19">
        <v>46433</v>
      </c>
      <c r="D85" s="19">
        <v>46434</v>
      </c>
      <c r="E85" s="19">
        <v>46446</v>
      </c>
      <c r="F85" s="4" t="str">
        <f>IF(R85=0,"",INDEX(criterio!$B$11:$B$22,R85))</f>
        <v>L</v>
      </c>
      <c r="G85" s="24">
        <f>IFERROR(IF(INDEX(criterio!$B$31:$B$111,MATCH(W85,criterio!$A$31:$A$111,0))=A85,INDEX(criterio!$C$31:$C$111,MATCH(W85,criterio!$A$31:$A$111,0)),""),"")</f>
        <v>5</v>
      </c>
      <c r="H85" s="26"/>
      <c r="I85" s="26"/>
      <c r="J85" s="28" t="str">
        <f t="shared" si="24"/>
        <v/>
      </c>
      <c r="K85" s="20"/>
      <c r="L85" s="21"/>
      <c r="M85" s="26"/>
      <c r="N85" s="26"/>
      <c r="O85" s="6" t="str">
        <f t="shared" si="25"/>
        <v>Previsión</v>
      </c>
      <c r="P85" s="6" t="str">
        <f>IFERROR(IF(AND(INDEX(criterio!$I$31:$I$111,MATCH(W85,criterio!$A$31:$A$111,0))=1,INDEX(criterio!$B$31:$B$111,MATCH(W85,criterio!$A$31:$A$111,0))=A85,ISNUMBER(B85),B85&gt;=criterio!$B$5,D85&lt;=criterio!$B$6,E85&gt;=criterio!$B$5),"Fuera de la previa del 20/12",""),"")</f>
        <v/>
      </c>
      <c r="Q85" s="22">
        <f t="shared" si="26"/>
        <v>46457</v>
      </c>
      <c r="R85">
        <f>IFERROR(MATCH(A85,criterio!$A$11:$A$22,0),0)</f>
        <v>9</v>
      </c>
      <c r="S85">
        <f>IF(R85=0,"",INDEX(criterio!$E$11:$E$22,R85))</f>
        <v>0</v>
      </c>
      <c r="T85">
        <f>IF(R85=0,"",INDEX(criterio!$C$11:$C$22,R85))</f>
        <v>1</v>
      </c>
      <c r="U85" t="str">
        <f>IF(R85=0,"",INDEX(criterio!$D$11:$D$22,R85))</f>
        <v>mes</v>
      </c>
      <c r="V85">
        <f>IF(AND(ISNUMBER(B85),B85=Turno!$B$3,OR(AL85="Preparar",AL85="Completar")),MAX($V$8:V84)+1,0)</f>
        <v>0</v>
      </c>
      <c r="W85" t="s">
        <v>122</v>
      </c>
      <c r="Y85" t="str">
        <f>IF(R85=0,"",INDEX(criterio!$I$11:$I$22,R85))</f>
        <v>Temperatura ambiente.</v>
      </c>
      <c r="Z85">
        <f t="shared" si="27"/>
        <v>5</v>
      </c>
      <c r="AA85" t="str">
        <f>IF(OR(A85="",COUNT(B85:C85)&lt;&gt;2),"",IF(OR(WEEKDAY(B85,2)&gt;5,COUNTIF(criterio!$B$25:$E$25,B85)&gt;0),"Cambiar día de elaboración",IF(OR(WEEKDAY(C85,2)&gt;5,COUNTIF(criterio!$B$25:$E$25,C85)&gt;0),"Cambiar día de retiro",IF(SUMIF($B$9:$B$128,B85,$AD$9:$AD$128)&gt;criterio!$D$26,"Más de dos recetas",IF(OR(A85="",NOT(ISNUMBER(B85))),"",IF(OR(NOT(ISNUMBER($Q$2)),NOT(ISNUMBER($Q$3)),$Q$2&lt;=0,$Q$3&lt;=0),"Revisar topes de carga",IF(SUMIFS($Z$9:$Z$128,$B$9:$B$128,B85,$F$9:$F$128,"kg")/$Q$2+SUMIFS($Z$9:$Z$128,$B$9:$B$128,B85,$F$9:$F$128,"L")/$Q$3&gt;1.000001,"Repartir carga del día","")))))))</f>
        <v/>
      </c>
      <c r="AB85" t="str">
        <f>IF(COUNTA(A85:E85,H85:I85,K85:N85)=0,"",IF(R85=0,"Elegir producto",IF(COUNT(B85:E85)&lt;&gt;4,"Completar fechas",IF(E85&lt;D85,"Revisar días de uso",IF(C85+criterio!$B$3&gt;D85,"El retiro llega tarde",IF(AND(N85&lt;&gt;"",OR(NOT(ISNUMBER(N85)),N85&lt;0)),"Revisar cantidad hecha",IF(AND(M85&lt;&gt;"",OR(NOT(ISNUMBER(M85)),M85&lt;0)),"Revisar cant. a adelantar",IF(AND(AND(ISBLANK(H85),L85="Adelanto"),NOT(ISNUMBER(AM85))),"Cargar cant. a adelantar",IF(AND(AND(ISBLANK(H85),L85="Adelanto"),I85&lt;&gt;"",OR(NOT(ISNUMBER(I85)),I85&lt;&gt;0)),"Revisar stock del adelanto",IF(AND(ISNUMBER(N85),N85&gt;0,L85&lt;&gt;"Sí",L85&lt;&gt;"Adelanto",N(M85)&lt;=0),"Hecho sin liberar",IF(AND(ISBLANK(H85),L85&lt;&gt;"Adelanto",OR(I85&lt;&gt;"",L85="Sí")),"Falta pedido real",IF(AND(H85&lt;&gt;"",OR(NOT(ISNUMBER(H85)),H85&lt;0)),"Revisar pedido",IF(AND(ISNUMBER(H85),H85=0,N(M85)&gt;0,N(N85)&gt;0,N(I85)=0),"Reasignar sobrante",IF(AND(ISNUMBER(H85),H85=0,OR(N85&gt;0,I85&gt;0)),"Revisar pedido y cantidades",IF(AND(ISNUMBER(H85),H85=0),"Sin pedido",IF(AND(ISNUMBER(H85),ISBLANK(I85)),"Falta anotar stock",IF(AND(I85&lt;&gt;"",OR(NOT(ISNUMBER(I85)),I85&lt;0,AND(ISNUMBER(H85),I85&gt;H85))),"Revisar stock asignado",IF(AND(ISNUMBER(I85),I85&gt;0,NOT(ISNUMBER(K85))),"Falta vencimiento de stock",IF(AND(ISNUMBER(I85),I85&gt;0,K85&lt;E85+criterio!$B$4),"El stock no cubre el uso",IF(AND(ISNUMBER(H85),ISNUMBER(I85),H85=I85,OR(N85="",N85=0)),"Cubierto con stock",IF(B85=criterio!$B$25,"Jornada bloqueada",IF(B85+S85&gt;C85,"No llega al retiro",IF(Q85&lt;E85,"Vence antes del último uso",IF(Q85&lt;E85+criterio!$B$4,"Falta margen de vida útil",IF(AND(ISBLANK(H85),L85&lt;&gt;"Adelanto",N(N85)&gt;0,N(M85)&gt;0),"Adelanto en pausa",IF(NOT(ISNUMBER(AM85)),"Previsión",IF(AND(ISNUMBER(H85),N(M85)&gt;0,N(N85)&gt;ROUND(H85-N(I85),3)),"Reasignar sobrante",IF(AND(ISNUMBER(N85),N85&gt;ROUND(AM85-N(I85),3)),"Revisar excedente",IF(AND(ISNUMBER(H85),L85&lt;&gt;"Sí",NOT(AND(N(M85)&gt;0,J85=0))),"Por confirmar",IF(J85=0,"Hecho",IF(AND(ISNUMBER(N85),N85&gt;0),"Completar","Preparar")))))))))))))))))))))))))))))))</f>
        <v>Previsión</v>
      </c>
      <c r="AC85">
        <f t="shared" si="28"/>
        <v>0</v>
      </c>
      <c r="AD85">
        <f>IF(OR(NOT(ISNUMBER(B85)),A85="",NOT(ISNUMBER(Z85)),Z85&lt;=0),0,IF(COUNTIFS($A$9:A85,A85,$B$9:B85,B85,$Z$9:Z85,"&gt;0")=1,1,0))</f>
        <v>1</v>
      </c>
      <c r="AE85">
        <f t="shared" si="29"/>
        <v>0</v>
      </c>
      <c r="AF85">
        <f t="shared" si="30"/>
        <v>0</v>
      </c>
      <c r="AG85" t="str">
        <f>IF(OR(AF85=0,AK85&lt;=0),"",IF(A85="Tsue","Retiro: ","Tanda: ")&amp;ROUND(AE85,3)&amp;" "&amp;F85&amp;". Acordar "&amp;INT(AE85/AK85)&amp;" o "&amp;ROUNDUP(AE85/AK85,0)&amp;IF(A85="Tsue"," envases de 5 L."," porciones de 500 g."))</f>
        <v/>
      </c>
      <c r="AH85">
        <f>IF(COUNTA(A85:E85,H85:I85,K85:L85,N85)=0,0,IF(OR(NOT(ISNUMBER(B85)),B85&lt;'Por semana'!$C$45,B85&gt;'Por semana'!$J$46+6),1,0))</f>
        <v>0</v>
      </c>
      <c r="AI85">
        <f t="shared" si="32"/>
        <v>5</v>
      </c>
      <c r="AJ85">
        <f t="shared" si="33"/>
        <v>1</v>
      </c>
      <c r="AK85">
        <f>IF(R85=0,0,IFERROR(INDEX(criterio!$J$11:$J$22,R85)+0,0))</f>
        <v>0</v>
      </c>
      <c r="AL85" t="str">
        <f t="shared" si="34"/>
        <v>Previsión</v>
      </c>
      <c r="AM85" t="str">
        <f t="shared" si="35"/>
        <v/>
      </c>
    </row>
    <row r="86" spans="1:39" ht="31" customHeight="1">
      <c r="A86" s="5" t="s">
        <v>70</v>
      </c>
      <c r="B86" s="19">
        <v>46430</v>
      </c>
      <c r="C86" s="19">
        <v>46433</v>
      </c>
      <c r="D86" s="19">
        <v>46434</v>
      </c>
      <c r="E86" s="19">
        <v>46446</v>
      </c>
      <c r="F86" s="4" t="str">
        <f>IF(R86=0,"",INDEX(criterio!$B$11:$B$22,R86))</f>
        <v>L</v>
      </c>
      <c r="G86" s="24">
        <f>IFERROR(IF(INDEX(criterio!$B$31:$B$111,MATCH(W86,criterio!$A$31:$A$111,0))=A86,INDEX(criterio!$C$31:$C$111,MATCH(W86,criterio!$A$31:$A$111,0)),""),"")</f>
        <v>2</v>
      </c>
      <c r="H86" s="26"/>
      <c r="I86" s="26"/>
      <c r="J86" s="28" t="str">
        <f t="shared" si="24"/>
        <v/>
      </c>
      <c r="K86" s="20"/>
      <c r="L86" s="21"/>
      <c r="M86" s="26"/>
      <c r="N86" s="26"/>
      <c r="O86" s="6" t="str">
        <f t="shared" si="25"/>
        <v>Previsión</v>
      </c>
      <c r="P86" s="6" t="str">
        <f>IFERROR(IF(AND(INDEX(criterio!$I$31:$I$111,MATCH(W86,criterio!$A$31:$A$111,0))=1,INDEX(criterio!$B$31:$B$111,MATCH(W86,criterio!$A$31:$A$111,0))=A86,ISNUMBER(B86),B86&gt;=criterio!$B$5,D86&lt;=criterio!$B$6,E86&gt;=criterio!$B$5),"Fuera de la previa del 20/12",""),"")</f>
        <v/>
      </c>
      <c r="Q86" s="22">
        <f t="shared" si="26"/>
        <v>46460</v>
      </c>
      <c r="R86">
        <f>IFERROR(MATCH(A86,criterio!$A$11:$A$22,0),0)</f>
        <v>11</v>
      </c>
      <c r="S86">
        <f>IF(R86=0,"",INDEX(criterio!$E$11:$E$22,R86))</f>
        <v>0</v>
      </c>
      <c r="T86">
        <f>IF(R86=0,"",INDEX(criterio!$C$11:$C$22,R86))</f>
        <v>30</v>
      </c>
      <c r="U86" t="str">
        <f>IF(R86=0,"",INDEX(criterio!$D$11:$D$22,R86))</f>
        <v>días</v>
      </c>
      <c r="V86">
        <f>IF(AND(ISNUMBER(B86),B86=Turno!$B$3,OR(AL86="Preparar",AL86="Completar")),MAX($V$8:V85)+1,0)</f>
        <v>0</v>
      </c>
      <c r="W86" t="s">
        <v>123</v>
      </c>
      <c r="Y86" t="str">
        <f>IF(R86=0,"",INDEX(criterio!$I$11:$I$22,R86))</f>
        <v>Heladera 0–5 °C. Solo base.
El cítrico se agrega en barra.</v>
      </c>
      <c r="Z86">
        <f t="shared" si="27"/>
        <v>2</v>
      </c>
      <c r="AA86" t="str">
        <f>IF(OR(A86="",COUNT(B86:C86)&lt;&gt;2),"",IF(OR(WEEKDAY(B86,2)&gt;5,COUNTIF(criterio!$B$25:$E$25,B86)&gt;0),"Cambiar día de elaboración",IF(OR(WEEKDAY(C86,2)&gt;5,COUNTIF(criterio!$B$25:$E$25,C86)&gt;0),"Cambiar día de retiro",IF(SUMIF($B$9:$B$128,B86,$AD$9:$AD$128)&gt;criterio!$D$26,"Más de dos recetas",IF(OR(A86="",NOT(ISNUMBER(B86))),"",IF(OR(NOT(ISNUMBER($Q$2)),NOT(ISNUMBER($Q$3)),$Q$2&lt;=0,$Q$3&lt;=0),"Revisar topes de carga",IF(SUMIFS($Z$9:$Z$128,$B$9:$B$128,B86,$F$9:$F$128,"kg")/$Q$2+SUMIFS($Z$9:$Z$128,$B$9:$B$128,B86,$F$9:$F$128,"L")/$Q$3&gt;1.000001,"Repartir carga del día","")))))))</f>
        <v/>
      </c>
      <c r="AB86" t="str">
        <f>IF(COUNTA(A86:E86,H86:I86,K86:N86)=0,"",IF(R86=0,"Elegir producto",IF(COUNT(B86:E86)&lt;&gt;4,"Completar fechas",IF(E86&lt;D86,"Revisar días de uso",IF(C86+criterio!$B$3&gt;D86,"El retiro llega tarde",IF(AND(N86&lt;&gt;"",OR(NOT(ISNUMBER(N86)),N86&lt;0)),"Revisar cantidad hecha",IF(AND(M86&lt;&gt;"",OR(NOT(ISNUMBER(M86)),M86&lt;0)),"Revisar cant. a adelantar",IF(AND(AND(ISBLANK(H86),L86="Adelanto"),NOT(ISNUMBER(AM86))),"Cargar cant. a adelantar",IF(AND(AND(ISBLANK(H86),L86="Adelanto"),I86&lt;&gt;"",OR(NOT(ISNUMBER(I86)),I86&lt;&gt;0)),"Revisar stock del adelanto",IF(AND(ISNUMBER(N86),N86&gt;0,L86&lt;&gt;"Sí",L86&lt;&gt;"Adelanto",N(M86)&lt;=0),"Hecho sin liberar",IF(AND(ISBLANK(H86),L86&lt;&gt;"Adelanto",OR(I86&lt;&gt;"",L86="Sí")),"Falta pedido real",IF(AND(H86&lt;&gt;"",OR(NOT(ISNUMBER(H86)),H86&lt;0)),"Revisar pedido",IF(AND(ISNUMBER(H86),H86=0,N(M86)&gt;0,N(N86)&gt;0,N(I86)=0),"Reasignar sobrante",IF(AND(ISNUMBER(H86),H86=0,OR(N86&gt;0,I86&gt;0)),"Revisar pedido y cantidades",IF(AND(ISNUMBER(H86),H86=0),"Sin pedido",IF(AND(ISNUMBER(H86),ISBLANK(I86)),"Falta anotar stock",IF(AND(I86&lt;&gt;"",OR(NOT(ISNUMBER(I86)),I86&lt;0,AND(ISNUMBER(H86),I86&gt;H86))),"Revisar stock asignado",IF(AND(ISNUMBER(I86),I86&gt;0,NOT(ISNUMBER(K86))),"Falta vencimiento de stock",IF(AND(ISNUMBER(I86),I86&gt;0,K86&lt;E86+criterio!$B$4),"El stock no cubre el uso",IF(AND(ISNUMBER(H86),ISNUMBER(I86),H86=I86,OR(N86="",N86=0)),"Cubierto con stock",IF(B86=criterio!$B$25,"Jornada bloqueada",IF(B86+S86&gt;C86,"No llega al retiro",IF(Q86&lt;E86,"Vence antes del último uso",IF(Q86&lt;E86+criterio!$B$4,"Falta margen de vida útil",IF(AND(ISBLANK(H86),L86&lt;&gt;"Adelanto",N(N86)&gt;0,N(M86)&gt;0),"Adelanto en pausa",IF(NOT(ISNUMBER(AM86)),"Previsión",IF(AND(ISNUMBER(H86),N(M86)&gt;0,N(N86)&gt;ROUND(H86-N(I86),3)),"Reasignar sobrante",IF(AND(ISNUMBER(N86),N86&gt;ROUND(AM86-N(I86),3)),"Revisar excedente",IF(AND(ISNUMBER(H86),L86&lt;&gt;"Sí",NOT(AND(N(M86)&gt;0,J86=0))),"Por confirmar",IF(J86=0,"Hecho",IF(AND(ISNUMBER(N86),N86&gt;0),"Completar","Preparar")))))))))))))))))))))))))))))))</f>
        <v>Previsión</v>
      </c>
      <c r="AC86">
        <f t="shared" si="28"/>
        <v>0</v>
      </c>
      <c r="AD86">
        <f>IF(OR(NOT(ISNUMBER(B86)),A86="",NOT(ISNUMBER(Z86)),Z86&lt;=0),0,IF(COUNTIFS($A$9:A86,A86,$B$9:B86,B86,$Z$9:Z86,"&gt;0")=1,1,0))</f>
        <v>1</v>
      </c>
      <c r="AE86">
        <f t="shared" si="29"/>
        <v>0</v>
      </c>
      <c r="AF86">
        <f t="shared" si="30"/>
        <v>0</v>
      </c>
      <c r="AG86" t="str">
        <f>IF(OR(AF86=0,AK86&lt;=0),"",IF(A86="Tsue","Retiro: ","Tanda: ")&amp;ROUND(AE86,3)&amp;" "&amp;F86&amp;". Acordar "&amp;INT(AE86/AK86)&amp;" o "&amp;ROUNDUP(AE86/AK86,0)&amp;IF(A86="Tsue"," envases de 5 L."," porciones de 500 g."))</f>
        <v/>
      </c>
      <c r="AH86">
        <f>IF(COUNTA(A86:E86,H86:I86,K86:L86,N86)=0,0,IF(OR(NOT(ISNUMBER(B86)),B86&lt;'Por semana'!$C$45,B86&gt;'Por semana'!$J$46+6),1,0))</f>
        <v>0</v>
      </c>
      <c r="AI86">
        <f t="shared" si="32"/>
        <v>2</v>
      </c>
      <c r="AJ86">
        <f t="shared" si="33"/>
        <v>1</v>
      </c>
      <c r="AK86">
        <f>IF(R86=0,0,IFERROR(INDEX(criterio!$J$11:$J$22,R86)+0,0))</f>
        <v>0</v>
      </c>
      <c r="AL86" t="str">
        <f t="shared" si="34"/>
        <v>Previsión</v>
      </c>
      <c r="AM86" t="str">
        <f t="shared" si="35"/>
        <v/>
      </c>
    </row>
    <row r="87" spans="1:39" ht="31" customHeight="1">
      <c r="A87" s="5" t="s">
        <v>59</v>
      </c>
      <c r="B87" s="19">
        <v>46433</v>
      </c>
      <c r="C87" s="19">
        <v>46433</v>
      </c>
      <c r="D87" s="19">
        <v>46434</v>
      </c>
      <c r="E87" s="19">
        <v>46440</v>
      </c>
      <c r="F87" s="4" t="str">
        <f>IF(R87=0,"",INDEX(criterio!$B$11:$B$22,R87))</f>
        <v>kg</v>
      </c>
      <c r="G87" s="23">
        <f>IFERROR(IF(INDEX(criterio!$B$31:$B$111,MATCH(W87,criterio!$A$31:$A$111,0))=A87,INDEX(criterio!$C$31:$C$111,MATCH(W87,criterio!$A$31:$A$111,0)),""),"")</f>
        <v>1.615</v>
      </c>
      <c r="H87" s="25"/>
      <c r="I87" s="25"/>
      <c r="J87" s="27" t="str">
        <f t="shared" si="24"/>
        <v/>
      </c>
      <c r="K87" s="20"/>
      <c r="L87" s="21"/>
      <c r="M87" s="25"/>
      <c r="N87" s="25"/>
      <c r="O87" s="6" t="str">
        <f t="shared" si="25"/>
        <v>Previsión</v>
      </c>
      <c r="P87" s="6" t="str">
        <f>IFERROR(IF(AND(INDEX(criterio!$I$31:$I$111,MATCH(W87,criterio!$A$31:$A$111,0))=1,INDEX(criterio!$B$31:$B$111,MATCH(W87,criterio!$A$31:$A$111,0))=A87,ISNUMBER(B87),B87&gt;=criterio!$B$5,D87&lt;=criterio!$B$6,E87&gt;=criterio!$B$5),"Fuera de la previa del 20/12",""),"")</f>
        <v/>
      </c>
      <c r="Q87" s="22">
        <f t="shared" si="26"/>
        <v>46443</v>
      </c>
      <c r="R87">
        <f>IFERROR(MATCH(A87,criterio!$A$11:$A$22,0),0)</f>
        <v>12</v>
      </c>
      <c r="S87">
        <f>IF(R87=0,"",INDEX(criterio!$E$11:$E$22,R87))</f>
        <v>0</v>
      </c>
      <c r="T87">
        <f>IF(R87=0,"",INDEX(criterio!$C$11:$C$22,R87))</f>
        <v>10</v>
      </c>
      <c r="U87" t="str">
        <f>IF(R87=0,"",INDEX(criterio!$D$11:$D$22,R87))</f>
        <v>días</v>
      </c>
      <c r="V87">
        <f>IF(AND(ISNUMBER(B87),B87=Turno!$B$3,OR(AL87="Preparar",AL87="Completar")),MAX($V$8:V86)+1,0)</f>
        <v>0</v>
      </c>
      <c r="W87" t="s">
        <v>124</v>
      </c>
      <c r="Y87" t="str">
        <f>IF(R87=0,"",INDEX(criterio!$I$11:$I$22,R87))</f>
        <v>Heladera 0–5 °C.</v>
      </c>
      <c r="Z87">
        <f t="shared" si="27"/>
        <v>1.615</v>
      </c>
      <c r="AA87" t="str">
        <f>IF(OR(A87="",COUNT(B87:C87)&lt;&gt;2),"",IF(OR(WEEKDAY(B87,2)&gt;5,COUNTIF(criterio!$B$25:$E$25,B87)&gt;0),"Cambiar día de elaboración",IF(OR(WEEKDAY(C87,2)&gt;5,COUNTIF(criterio!$B$25:$E$25,C87)&gt;0),"Cambiar día de retiro",IF(SUMIF($B$9:$B$128,B87,$AD$9:$AD$128)&gt;criterio!$D$26,"Más de dos recetas",IF(OR(A87="",NOT(ISNUMBER(B87))),"",IF(OR(NOT(ISNUMBER($Q$2)),NOT(ISNUMBER($Q$3)),$Q$2&lt;=0,$Q$3&lt;=0),"Revisar topes de carga",IF(SUMIFS($Z$9:$Z$128,$B$9:$B$128,B87,$F$9:$F$128,"kg")/$Q$2+SUMIFS($Z$9:$Z$128,$B$9:$B$128,B87,$F$9:$F$128,"L")/$Q$3&gt;1.000001,"Repartir carga del día","")))))))</f>
        <v/>
      </c>
      <c r="AB87" t="str">
        <f>IF(COUNTA(A87:E87,H87:I87,K87:N87)=0,"",IF(R87=0,"Elegir producto",IF(COUNT(B87:E87)&lt;&gt;4,"Completar fechas",IF(E87&lt;D87,"Revisar días de uso",IF(C87+criterio!$B$3&gt;D87,"El retiro llega tarde",IF(AND(N87&lt;&gt;"",OR(NOT(ISNUMBER(N87)),N87&lt;0)),"Revisar cantidad hecha",IF(AND(M87&lt;&gt;"",OR(NOT(ISNUMBER(M87)),M87&lt;0)),"Revisar cant. a adelantar",IF(AND(AND(ISBLANK(H87),L87="Adelanto"),NOT(ISNUMBER(AM87))),"Cargar cant. a adelantar",IF(AND(AND(ISBLANK(H87),L87="Adelanto"),I87&lt;&gt;"",OR(NOT(ISNUMBER(I87)),I87&lt;&gt;0)),"Revisar stock del adelanto",IF(AND(ISNUMBER(N87),N87&gt;0,L87&lt;&gt;"Sí",L87&lt;&gt;"Adelanto",N(M87)&lt;=0),"Hecho sin liberar",IF(AND(ISBLANK(H87),L87&lt;&gt;"Adelanto",OR(I87&lt;&gt;"",L87="Sí")),"Falta pedido real",IF(AND(H87&lt;&gt;"",OR(NOT(ISNUMBER(H87)),H87&lt;0)),"Revisar pedido",IF(AND(ISNUMBER(H87),H87=0,N(M87)&gt;0,N(N87)&gt;0,N(I87)=0),"Reasignar sobrante",IF(AND(ISNUMBER(H87),H87=0,OR(N87&gt;0,I87&gt;0)),"Revisar pedido y cantidades",IF(AND(ISNUMBER(H87),H87=0),"Sin pedido",IF(AND(ISNUMBER(H87),ISBLANK(I87)),"Falta anotar stock",IF(AND(I87&lt;&gt;"",OR(NOT(ISNUMBER(I87)),I87&lt;0,AND(ISNUMBER(H87),I87&gt;H87))),"Revisar stock asignado",IF(AND(ISNUMBER(I87),I87&gt;0,NOT(ISNUMBER(K87))),"Falta vencimiento de stock",IF(AND(ISNUMBER(I87),I87&gt;0,K87&lt;E87+criterio!$B$4),"El stock no cubre el uso",IF(AND(ISNUMBER(H87),ISNUMBER(I87),H87=I87,OR(N87="",N87=0)),"Cubierto con stock",IF(B87=criterio!$B$25,"Jornada bloqueada",IF(B87+S87&gt;C87,"No llega al retiro",IF(Q87&lt;E87,"Vence antes del último uso",IF(Q87&lt;E87+criterio!$B$4,"Falta margen de vida útil",IF(AND(ISBLANK(H87),L87&lt;&gt;"Adelanto",N(N87)&gt;0,N(M87)&gt;0),"Adelanto en pausa",IF(NOT(ISNUMBER(AM87)),"Previsión",IF(AND(ISNUMBER(H87),N(M87)&gt;0,N(N87)&gt;ROUND(H87-N(I87),3)),"Reasignar sobrante",IF(AND(ISNUMBER(N87),N87&gt;ROUND(AM87-N(I87),3)),"Revisar excedente",IF(AND(ISNUMBER(H87),L87&lt;&gt;"Sí",NOT(AND(N(M87)&gt;0,J87=0))),"Por confirmar",IF(J87=0,"Hecho",IF(AND(ISNUMBER(N87),N87&gt;0),"Completar","Preparar")))))))))))))))))))))))))))))))</f>
        <v>Previsión</v>
      </c>
      <c r="AC87">
        <f t="shared" si="28"/>
        <v>0</v>
      </c>
      <c r="AD87">
        <f>IF(OR(NOT(ISNUMBER(B87)),A87="",NOT(ISNUMBER(Z87)),Z87&lt;=0),0,IF(COUNTIFS($A$9:A87,A87,$B$9:B87,B87,$Z$9:Z87,"&gt;0")=1,1,0))</f>
        <v>1</v>
      </c>
      <c r="AE87">
        <f t="shared" si="29"/>
        <v>1.615</v>
      </c>
      <c r="AF87">
        <f t="shared" si="30"/>
        <v>1</v>
      </c>
      <c r="AG87" t="str">
        <f>IF(OR(AF87=0,AK87&lt;=0),"",IF(A87="Tsue","Retiro: ","Tanda: ")&amp;ROUND(AE87,3)&amp;" "&amp;F87&amp;". Acordar "&amp;INT(AE87/AK87)&amp;" o "&amp;ROUNDUP(AE87/AK87,0)&amp;IF(A87="Tsue"," envases de 5 L."," porciones de 500 g."))</f>
        <v>Tanda: 1.615 kg. Acordar 3 o 4 porciones de 500 g.</v>
      </c>
      <c r="AH87">
        <f>IF(COUNTA(A87:E87,H87:I87,K87:L87,N87)=0,0,IF(OR(NOT(ISNUMBER(B87)),B87&lt;'Por semana'!$C$45,B87&gt;'Por semana'!$J$46+6),1,0))</f>
        <v>0</v>
      </c>
      <c r="AI87">
        <f t="shared" si="32"/>
        <v>1.615</v>
      </c>
      <c r="AJ87">
        <f t="shared" si="33"/>
        <v>1</v>
      </c>
      <c r="AK87">
        <f>IF(R87=0,0,IFERROR(INDEX(criterio!$J$11:$J$22,R87)+0,0))</f>
        <v>0.5</v>
      </c>
      <c r="AL87" t="str">
        <f t="shared" si="34"/>
        <v>Previsión</v>
      </c>
      <c r="AM87" t="str">
        <f t="shared" si="35"/>
        <v/>
      </c>
    </row>
    <row r="88" spans="1:39" ht="31" customHeight="1">
      <c r="A88" s="5" t="s">
        <v>59</v>
      </c>
      <c r="B88" s="19">
        <v>46440</v>
      </c>
      <c r="C88" s="19">
        <v>46440</v>
      </c>
      <c r="D88" s="19">
        <v>46441</v>
      </c>
      <c r="E88" s="19">
        <v>46446</v>
      </c>
      <c r="F88" s="4" t="str">
        <f>IF(R88=0,"",INDEX(criterio!$B$11:$B$22,R88))</f>
        <v>kg</v>
      </c>
      <c r="G88" s="23">
        <f>IFERROR(IF(INDEX(criterio!$B$31:$B$111,MATCH(W88,criterio!$A$31:$A$111,0))=A88,INDEX(criterio!$C$31:$C$111,MATCH(W88,criterio!$A$31:$A$111,0)),""),"")</f>
        <v>1.385</v>
      </c>
      <c r="H88" s="25"/>
      <c r="I88" s="25"/>
      <c r="J88" s="27" t="str">
        <f t="shared" si="24"/>
        <v/>
      </c>
      <c r="K88" s="20"/>
      <c r="L88" s="21"/>
      <c r="M88" s="25"/>
      <c r="N88" s="25"/>
      <c r="O88" s="6" t="str">
        <f t="shared" si="25"/>
        <v>Previsión</v>
      </c>
      <c r="P88" s="6" t="str">
        <f>IFERROR(IF(AND(INDEX(criterio!$I$31:$I$111,MATCH(W88,criterio!$A$31:$A$111,0))=1,INDEX(criterio!$B$31:$B$111,MATCH(W88,criterio!$A$31:$A$111,0))=A88,ISNUMBER(B88),B88&gt;=criterio!$B$5,D88&lt;=criterio!$B$6,E88&gt;=criterio!$B$5),"Fuera de la previa del 20/12",""),"")</f>
        <v/>
      </c>
      <c r="Q88" s="22">
        <f t="shared" si="26"/>
        <v>46450</v>
      </c>
      <c r="R88">
        <f>IFERROR(MATCH(A88,criterio!$A$11:$A$22,0),0)</f>
        <v>12</v>
      </c>
      <c r="S88">
        <f>IF(R88=0,"",INDEX(criterio!$E$11:$E$22,R88))</f>
        <v>0</v>
      </c>
      <c r="T88">
        <f>IF(R88=0,"",INDEX(criterio!$C$11:$C$22,R88))</f>
        <v>10</v>
      </c>
      <c r="U88" t="str">
        <f>IF(R88=0,"",INDEX(criterio!$D$11:$D$22,R88))</f>
        <v>días</v>
      </c>
      <c r="V88">
        <f>IF(AND(ISNUMBER(B88),B88=Turno!$B$3,OR(AL88="Preparar",AL88="Completar")),MAX($V$8:V87)+1,0)</f>
        <v>0</v>
      </c>
      <c r="W88" t="s">
        <v>125</v>
      </c>
      <c r="Y88" t="str">
        <f>IF(R88=0,"",INDEX(criterio!$I$11:$I$22,R88))</f>
        <v>Heladera 0–5 °C.</v>
      </c>
      <c r="Z88">
        <f t="shared" si="27"/>
        <v>1.385</v>
      </c>
      <c r="AA88" t="str">
        <f>IF(OR(A88="",COUNT(B88:C88)&lt;&gt;2),"",IF(OR(WEEKDAY(B88,2)&gt;5,COUNTIF(criterio!$B$25:$E$25,B88)&gt;0),"Cambiar día de elaboración",IF(OR(WEEKDAY(C88,2)&gt;5,COUNTIF(criterio!$B$25:$E$25,C88)&gt;0),"Cambiar día de retiro",IF(SUMIF($B$9:$B$128,B88,$AD$9:$AD$128)&gt;criterio!$D$26,"Más de dos recetas",IF(OR(A88="",NOT(ISNUMBER(B88))),"",IF(OR(NOT(ISNUMBER($Q$2)),NOT(ISNUMBER($Q$3)),$Q$2&lt;=0,$Q$3&lt;=0),"Revisar topes de carga",IF(SUMIFS($Z$9:$Z$128,$B$9:$B$128,B88,$F$9:$F$128,"kg")/$Q$2+SUMIFS($Z$9:$Z$128,$B$9:$B$128,B88,$F$9:$F$128,"L")/$Q$3&gt;1.000001,"Repartir carga del día","")))))))</f>
        <v/>
      </c>
      <c r="AB88" t="str">
        <f>IF(COUNTA(A88:E88,H88:I88,K88:N88)=0,"",IF(R88=0,"Elegir producto",IF(COUNT(B88:E88)&lt;&gt;4,"Completar fechas",IF(E88&lt;D88,"Revisar días de uso",IF(C88+criterio!$B$3&gt;D88,"El retiro llega tarde",IF(AND(N88&lt;&gt;"",OR(NOT(ISNUMBER(N88)),N88&lt;0)),"Revisar cantidad hecha",IF(AND(M88&lt;&gt;"",OR(NOT(ISNUMBER(M88)),M88&lt;0)),"Revisar cant. a adelantar",IF(AND(AND(ISBLANK(H88),L88="Adelanto"),NOT(ISNUMBER(AM88))),"Cargar cant. a adelantar",IF(AND(AND(ISBLANK(H88),L88="Adelanto"),I88&lt;&gt;"",OR(NOT(ISNUMBER(I88)),I88&lt;&gt;0)),"Revisar stock del adelanto",IF(AND(ISNUMBER(N88),N88&gt;0,L88&lt;&gt;"Sí",L88&lt;&gt;"Adelanto",N(M88)&lt;=0),"Hecho sin liberar",IF(AND(ISBLANK(H88),L88&lt;&gt;"Adelanto",OR(I88&lt;&gt;"",L88="Sí")),"Falta pedido real",IF(AND(H88&lt;&gt;"",OR(NOT(ISNUMBER(H88)),H88&lt;0)),"Revisar pedido",IF(AND(ISNUMBER(H88),H88=0,N(M88)&gt;0,N(N88)&gt;0,N(I88)=0),"Reasignar sobrante",IF(AND(ISNUMBER(H88),H88=0,OR(N88&gt;0,I88&gt;0)),"Revisar pedido y cantidades",IF(AND(ISNUMBER(H88),H88=0),"Sin pedido",IF(AND(ISNUMBER(H88),ISBLANK(I88)),"Falta anotar stock",IF(AND(I88&lt;&gt;"",OR(NOT(ISNUMBER(I88)),I88&lt;0,AND(ISNUMBER(H88),I88&gt;H88))),"Revisar stock asignado",IF(AND(ISNUMBER(I88),I88&gt;0,NOT(ISNUMBER(K88))),"Falta vencimiento de stock",IF(AND(ISNUMBER(I88),I88&gt;0,K88&lt;E88+criterio!$B$4),"El stock no cubre el uso",IF(AND(ISNUMBER(H88),ISNUMBER(I88),H88=I88,OR(N88="",N88=0)),"Cubierto con stock",IF(B88=criterio!$B$25,"Jornada bloqueada",IF(B88+S88&gt;C88,"No llega al retiro",IF(Q88&lt;E88,"Vence antes del último uso",IF(Q88&lt;E88+criterio!$B$4,"Falta margen de vida útil",IF(AND(ISBLANK(H88),L88&lt;&gt;"Adelanto",N(N88)&gt;0,N(M88)&gt;0),"Adelanto en pausa",IF(NOT(ISNUMBER(AM88)),"Previsión",IF(AND(ISNUMBER(H88),N(M88)&gt;0,N(N88)&gt;ROUND(H88-N(I88),3)),"Reasignar sobrante",IF(AND(ISNUMBER(N88),N88&gt;ROUND(AM88-N(I88),3)),"Revisar excedente",IF(AND(ISNUMBER(H88),L88&lt;&gt;"Sí",NOT(AND(N(M88)&gt;0,J88=0))),"Por confirmar",IF(J88=0,"Hecho",IF(AND(ISNUMBER(N88),N88&gt;0),"Completar","Preparar")))))))))))))))))))))))))))))))</f>
        <v>Previsión</v>
      </c>
      <c r="AC88">
        <f t="shared" si="28"/>
        <v>0</v>
      </c>
      <c r="AD88">
        <f>IF(OR(NOT(ISNUMBER(B88)),A88="",NOT(ISNUMBER(Z88)),Z88&lt;=0),0,IF(COUNTIFS($A$9:A88,A88,$B$9:B88,B88,$Z$9:Z88,"&gt;0")=1,1,0))</f>
        <v>1</v>
      </c>
      <c r="AE88">
        <f t="shared" si="29"/>
        <v>1.385</v>
      </c>
      <c r="AF88">
        <f t="shared" si="30"/>
        <v>1</v>
      </c>
      <c r="AG88" t="str">
        <f>IF(OR(AF88=0,AK88&lt;=0),"",IF(A88="Tsue","Retiro: ","Tanda: ")&amp;ROUND(AE88,3)&amp;" "&amp;F88&amp;". Acordar "&amp;INT(AE88/AK88)&amp;" o "&amp;ROUNDUP(AE88/AK88,0)&amp;IF(A88="Tsue"," envases de 5 L."," porciones de 500 g."))</f>
        <v>Tanda: 1.385 kg. Acordar 2 o 3 porciones de 500 g.</v>
      </c>
      <c r="AH88">
        <f>IF(COUNTA(A88:E88,H88:I88,K88:L88,N88)=0,0,IF(OR(NOT(ISNUMBER(B88)),B88&lt;'Por semana'!$C$45,B88&gt;'Por semana'!$J$46+6),1,0))</f>
        <v>0</v>
      </c>
      <c r="AI88">
        <f t="shared" si="32"/>
        <v>1.385</v>
      </c>
      <c r="AJ88">
        <f t="shared" si="33"/>
        <v>1</v>
      </c>
      <c r="AK88">
        <f>IF(R88=0,0,IFERROR(INDEX(criterio!$J$11:$J$22,R88)+0,0))</f>
        <v>0.5</v>
      </c>
      <c r="AL88" t="str">
        <f t="shared" si="34"/>
        <v>Previsión</v>
      </c>
      <c r="AM88" t="str">
        <f t="shared" si="35"/>
        <v/>
      </c>
    </row>
    <row r="89" spans="1:39" ht="31" customHeight="1">
      <c r="A89" s="11" t="inlineStr">
        <is>
          <t>Gari</t>
        </is>
      </c>
      <c r="B89" s="19">
        <v>46351</v>
      </c>
      <c r="C89" s="19">
        <v>46356</v>
      </c>
      <c r="D89" s="19">
        <v>46357</v>
      </c>
      <c r="E89" s="19">
        <v>46371</v>
      </c>
      <c r="F89" s="10" t="str">
        <f>IF(R89=0,"",INDEX(criterio!$B$11:$B$22,R89))</f>
        <v>kg</v>
      </c>
      <c r="G89" s="4">
        <f>IFERROR(IF(INDEX(criterio!$B$31:$B$111,MATCH(W89,criterio!$A$31:$A$111,0))=A89,INDEX(criterio!$C$31:$C$111,MATCH(W89,criterio!$A$31:$A$111,0)),""),"")</f>
        <v>10</v>
      </c>
      <c r="H89" s="5"/>
      <c r="I89" s="5"/>
      <c r="J89" s="29" t="str">
        <f t="shared" si="24"/>
        <v/>
      </c>
      <c r="K89" s="20"/>
      <c r="L89" s="21"/>
      <c r="M89" s="5"/>
      <c r="N89" s="5"/>
      <c r="O89" s="6" t="str">
        <f t="shared" si="25"/>
        <v>Previsión</v>
      </c>
      <c r="P89" s="10" t="str">
        <f>IFERROR(IF(AND(INDEX(criterio!$I$31:$I$111,MATCH(W89,criterio!$A$31:$A$111,0))=1,INDEX(criterio!$B$31:$B$111,MATCH(W89,criterio!$A$31:$A$111,0))=A89,ISNUMBER(B89),B89&gt;=criterio!$B$5,D89&lt;=criterio!$B$6,E89&gt;=criterio!$B$5),"Fuera de la previa del 20/12",""),"")</f>
        <v/>
      </c>
      <c r="Q89" s="22">
        <f t="shared" si="26"/>
        <v>46381</v>
      </c>
      <c r="R89">
        <f>IFERROR(MATCH(A89,criterio!$A$11:$A$22,0),0)</f>
        <v>7</v>
      </c>
      <c r="S89">
        <f>IF(R89=0,"",INDEX(criterio!$E$11:$E$22,R89))</f>
        <v>1</v>
      </c>
      <c r="T89">
        <f>IF(R89=0,"",INDEX(criterio!$C$11:$C$22,R89))</f>
        <v>30</v>
      </c>
      <c r="U89" t="str">
        <f>IF(R89=0,"",INDEX(criterio!$D$11:$D$22,R89))</f>
        <v>días</v>
      </c>
      <c r="V89">
        <f>IF(AND(ISNUMBER(B89),B89=Turno!$B$3,OR(AL89="Preparar",AL89="Completar")),MAX($V$8:V88)+1,0)</f>
        <v>0</v>
      </c>
      <c r="W89" t="inlineStr">
        <is>
          <t>T081</t>
        </is>
      </c>
      <c r="Y89" t="str">
        <f>IF(R89=0,"",INDEX(criterio!$I$11:$I$22,R89))</f>
        <v>Heladera 0–5 °C. Marinar 24 h.
Abierto: 7 días, sin superar vencimiento.</v>
      </c>
      <c r="Z89">
        <f t="shared" si="27"/>
        <v>10</v>
      </c>
      <c r="AA89" t="str">
        <f>IF(OR(A89="",COUNT(B89:C89)&lt;&gt;2),"",IF(OR(WEEKDAY(B89,2)&gt;5,COUNTIF(criterio!$B$25:$E$25,B89)&gt;0),"Cambiar día de elaboración",IF(OR(WEEKDAY(C89,2)&gt;5,COUNTIF(criterio!$B$25:$E$25,C89)&gt;0),"Cambiar día de retiro",IF(SUMIF($B$9:$B$128,B89,$AD$9:$AD$128)&gt;criterio!$D$26,"Más de dos recetas",IF(OR(A89="",NOT(ISNUMBER(B89))),"",IF(OR(NOT(ISNUMBER($Q$2)),NOT(ISNUMBER($Q$3)),$Q$2&lt;=0,$Q$3&lt;=0),"Revisar topes de carga",IF(SUMIFS($Z$9:$Z$128,$B$9:$B$128,B89,$F$9:$F$128,"kg")/$Q$2+SUMIFS($Z$9:$Z$128,$B$9:$B$128,B89,$F$9:$F$128,"L")/$Q$3&gt;1.000001,"Repartir carga del día","")))))))</f>
        <v/>
      </c>
      <c r="AB89" t="str">
        <f>IF(COUNTA(A89:E89,H89:I89,K89:N89)=0,"",IF(R89=0,"Elegir producto",IF(COUNT(B89:E89)&lt;&gt;4,"Completar fechas",IF(E89&lt;D89,"Revisar días de uso",IF(C89+criterio!$B$3&gt;D89,"El retiro llega tarde",IF(AND(N89&lt;&gt;"",OR(NOT(ISNUMBER(N89)),N89&lt;0)),"Revisar cantidad hecha",IF(AND(M89&lt;&gt;"",OR(NOT(ISNUMBER(M89)),M89&lt;0)),"Revisar cant. a adelantar",IF(AND(AND(ISBLANK(H89),L89="Adelanto"),NOT(ISNUMBER(AM89))),"Cargar cant. a adelantar",IF(AND(AND(ISBLANK(H89),L89="Adelanto"),I89&lt;&gt;"",OR(NOT(ISNUMBER(I89)),I89&lt;&gt;0)),"Revisar stock del adelanto",IF(AND(ISNUMBER(N89),N89&gt;0,L89&lt;&gt;"Sí",L89&lt;&gt;"Adelanto",N(M89)&lt;=0),"Hecho sin liberar",IF(AND(ISBLANK(H89),L89&lt;&gt;"Adelanto",OR(I89&lt;&gt;"",L89="Sí")),"Falta pedido real",IF(AND(H89&lt;&gt;"",OR(NOT(ISNUMBER(H89)),H89&lt;0)),"Revisar pedido",IF(AND(ISNUMBER(H89),H89=0,N(M89)&gt;0,N(N89)&gt;0,N(I89)=0),"Reasignar sobrante",IF(AND(ISNUMBER(H89),H89=0,OR(N89&gt;0,I89&gt;0)),"Revisar pedido y cantidades",IF(AND(ISNUMBER(H89),H89=0),"Sin pedido",IF(AND(ISNUMBER(H89),ISBLANK(I89)),"Falta anotar stock",IF(AND(I89&lt;&gt;"",OR(NOT(ISNUMBER(I89)),I89&lt;0,AND(ISNUMBER(H89),I89&gt;H89))),"Revisar stock asignado",IF(AND(ISNUMBER(I89),I89&gt;0,NOT(ISNUMBER(K89))),"Falta vencimiento de stock",IF(AND(ISNUMBER(I89),I89&gt;0,K89&lt;E89+criterio!$B$4),"El stock no cubre el uso",IF(AND(ISNUMBER(H89),ISNUMBER(I89),H89=I89,OR(N89="",N89=0)),"Cubierto con stock",IF(B89=criterio!$B$25,"Jornada bloqueada",IF(B89+S89&gt;C89,"No llega al retiro",IF(Q89&lt;E89,"Vence antes del último uso",IF(Q89&lt;E89+criterio!$B$4,"Falta margen de vida útil",IF(AND(ISBLANK(H89),L89&lt;&gt;"Adelanto",N(N89)&gt;0,N(M89)&gt;0),"Adelanto en pausa",IF(NOT(ISNUMBER(AM89)),"Previsión",IF(AND(ISNUMBER(H89),N(M89)&gt;0,N(N89)&gt;ROUND(H89-N(I89),3)),"Reasignar sobrante",IF(AND(ISNUMBER(N89),N89&gt;ROUND(AM89-N(I89),3)),"Revisar excedente",IF(AND(ISNUMBER(H89),L89&lt;&gt;"Sí",NOT(AND(N(M89)&gt;0,J89=0))),"Por confirmar",IF(J89=0,"Hecho",IF(AND(ISNUMBER(N89),N89&gt;0),"Completar","Preparar")))))))))))))))))))))))))))))))</f>
        <v>Previsión</v>
      </c>
      <c r="AC89">
        <f t="shared" si="28"/>
        <v>0</v>
      </c>
      <c r="AD89">
        <f>IF(OR(NOT(ISNUMBER(B89)),A89="",NOT(ISNUMBER(Z89)),Z89&lt;=0),0,IF(COUNTIFS($A$9:A89,A89,$B$9:B89,B89,$Z$9:Z89,"&gt;0")=1,1,0))</f>
        <v>1</v>
      </c>
      <c r="AE89">
        <f t="shared" si="29"/>
        <v>0</v>
      </c>
      <c r="AF89">
        <f t="shared" si="30"/>
        <v>0</v>
      </c>
      <c r="AG89" t="str">
        <f>IF(OR(AF89=0,AK89&lt;=0),"",IF(A89="Tsue","Retiro: ","Tanda: ")&amp;ROUND(AE89,3)&amp;" "&amp;F89&amp;". Acordar "&amp;INT(AE89/AK89)&amp;" o "&amp;ROUNDUP(AE89/AK89,0)&amp;IF(A89="Tsue"," envases de 5 L."," porciones de 500 g."))</f>
        <v/>
      </c>
      <c r="AH89">
        <f>IF(COUNTA(A89:E89,H89:I89,K89:L89,N89)=0,0,IF(OR(NOT(ISNUMBER(B89)),B89&lt;'Por semana'!$C$45,B89&gt;'Por semana'!$J$46+6),1,0))</f>
        <v>0</v>
      </c>
      <c r="AI89">
        <f t="shared" si="32"/>
        <v>10</v>
      </c>
      <c r="AJ89">
        <f t="shared" si="33"/>
        <v>1</v>
      </c>
      <c r="AK89">
        <f>IF(R89=0,0,IFERROR(INDEX(criterio!$J$11:$J$22,R89)+0,0))</f>
        <v>0</v>
      </c>
      <c r="AL89" t="str">
        <f t="shared" si="34"/>
        <v>Previsión</v>
      </c>
      <c r="AM89" t="str">
        <f t="shared" si="35"/>
        <v/>
      </c>
    </row>
    <row r="90" spans="1:39" ht="31" customHeight="1">
      <c r="A90" s="11"/>
      <c r="B90" s="19"/>
      <c r="C90" s="19"/>
      <c r="D90" s="19"/>
      <c r="E90" s="19"/>
      <c r="F90" s="10" t="str">
        <f>IF(R90=0,"",INDEX(criterio!$B$11:$B$22,R90))</f>
        <v/>
      </c>
      <c r="G90" s="4" t="str">
        <f>IFERROR(IF(INDEX(criterio!$B$31:$B$111,MATCH(W90,criterio!$A$31:$A$111,0))=A90,INDEX(criterio!$C$31:$C$111,MATCH(W90,criterio!$A$31:$A$111,0)),""),"")</f>
        <v/>
      </c>
      <c r="H90" s="5"/>
      <c r="I90" s="5"/>
      <c r="J90" s="29" t="str">
        <f t="shared" si="24"/>
        <v/>
      </c>
      <c r="K90" s="20"/>
      <c r="L90" s="21"/>
      <c r="M90" s="5"/>
      <c r="N90" s="5"/>
      <c r="O90" s="6" t="str">
        <f t="shared" si="25"/>
        <v/>
      </c>
      <c r="P90" s="10" t="str">
        <f>IFERROR(IF(AND(INDEX(criterio!$I$31:$I$111,MATCH(W90,criterio!$A$31:$A$111,0))=1,INDEX(criterio!$B$31:$B$111,MATCH(W90,criterio!$A$31:$A$111,0))=A90,ISNUMBER(B90),B90&gt;=criterio!$B$5,D90&lt;=criterio!$B$6,E90&gt;=criterio!$B$5),"Fuera de la previa del 20/12",""),"")</f>
        <v/>
      </c>
      <c r="Q90" s="22" t="str">
        <f t="shared" si="26"/>
        <v/>
      </c>
      <c r="R90">
        <f>IFERROR(MATCH(A90,criterio!$A$11:$A$22,0),0)</f>
        <v>0</v>
      </c>
      <c r="S90" t="str">
        <f>IF(R90=0,"",INDEX(criterio!$E$11:$E$22,R90))</f>
        <v/>
      </c>
      <c r="T90" t="str">
        <f>IF(R90=0,"",INDEX(criterio!$C$11:$C$22,R90))</f>
        <v/>
      </c>
      <c r="U90" t="str">
        <f>IF(R90=0,"",INDEX(criterio!$D$11:$D$22,R90))</f>
        <v/>
      </c>
      <c r="V90">
        <f>IF(AND(ISNUMBER(B90),B90=Turno!$B$3,OR(AL90="Preparar",AL90="Completar")),MAX($V$8:V89)+1,0)</f>
        <v>0</v>
      </c>
      <c r="Y90" t="str">
        <f>IF(R90=0,"",INDEX(criterio!$I$11:$I$22,R90))</f>
        <v/>
      </c>
      <c r="Z90" t="str">
        <f t="shared" si="27"/>
        <v/>
      </c>
      <c r="AA90" t="str">
        <f>IF(OR(A90="",COUNT(B90:C90)&lt;&gt;2),"",IF(OR(WEEKDAY(B90,2)&gt;5,COUNTIF(criterio!$B$25:$E$25,B90)&gt;0),"Cambiar día de elaboración",IF(OR(WEEKDAY(C90,2)&gt;5,COUNTIF(criterio!$B$25:$E$25,C90)&gt;0),"Cambiar día de retiro",IF(SUMIF($B$9:$B$128,B90,$AD$9:$AD$128)&gt;criterio!$D$26,"Más de dos recetas",IF(OR(A90="",NOT(ISNUMBER(B90))),"",IF(OR(NOT(ISNUMBER($Q$2)),NOT(ISNUMBER($Q$3)),$Q$2&lt;=0,$Q$3&lt;=0),"Revisar topes de carga",IF(SUMIFS($Z$9:$Z$128,$B$9:$B$128,B90,$F$9:$F$128,"kg")/$Q$2+SUMIFS($Z$9:$Z$128,$B$9:$B$128,B90,$F$9:$F$128,"L")/$Q$3&gt;1.000001,"Repartir carga del día","")))))))</f>
        <v/>
      </c>
      <c r="AB90" t="str">
        <f>IF(COUNTA(A90:E90,H90:I90,K90:N90)=0,"",IF(R90=0,"Elegir producto",IF(COUNT(B90:E90)&lt;&gt;4,"Completar fechas",IF(E90&lt;D90,"Revisar días de uso",IF(C90+criterio!$B$3&gt;D90,"El retiro llega tarde",IF(AND(N90&lt;&gt;"",OR(NOT(ISNUMBER(N90)),N90&lt;0)),"Revisar cantidad hecha",IF(AND(M90&lt;&gt;"",OR(NOT(ISNUMBER(M90)),M90&lt;0)),"Revisar cant. a adelantar",IF(AND(AND(ISBLANK(H90),L90="Adelanto"),NOT(ISNUMBER(AM90))),"Cargar cant. a adelantar",IF(AND(AND(ISBLANK(H90),L90="Adelanto"),I90&lt;&gt;"",OR(NOT(ISNUMBER(I90)),I90&lt;&gt;0)),"Revisar stock del adelanto",IF(AND(ISNUMBER(N90),N90&gt;0,L90&lt;&gt;"Sí",L90&lt;&gt;"Adelanto",N(M90)&lt;=0),"Hecho sin liberar",IF(AND(ISBLANK(H90),L90&lt;&gt;"Adelanto",OR(I90&lt;&gt;"",L90="Sí")),"Falta pedido real",IF(AND(H90&lt;&gt;"",OR(NOT(ISNUMBER(H90)),H90&lt;0)),"Revisar pedido",IF(AND(ISNUMBER(H90),H90=0,N(M90)&gt;0,N(N90)&gt;0,N(I90)=0),"Reasignar sobrante",IF(AND(ISNUMBER(H90),H90=0,OR(N90&gt;0,I90&gt;0)),"Revisar pedido y cantidades",IF(AND(ISNUMBER(H90),H90=0),"Sin pedido",IF(AND(ISNUMBER(H90),ISBLANK(I90)),"Falta anotar stock",IF(AND(I90&lt;&gt;"",OR(NOT(ISNUMBER(I90)),I90&lt;0,AND(ISNUMBER(H90),I90&gt;H90))),"Revisar stock asignado",IF(AND(ISNUMBER(I90),I90&gt;0,NOT(ISNUMBER(K90))),"Falta vencimiento de stock",IF(AND(ISNUMBER(I90),I90&gt;0,K90&lt;E90+criterio!$B$4),"El stock no cubre el uso",IF(AND(ISNUMBER(H90),ISNUMBER(I90),H90=I90,OR(N90="",N90=0)),"Cubierto con stock",IF(B90=criterio!$B$25,"Jornada bloqueada",IF(B90+S90&gt;C90,"No llega al retiro",IF(Q90&lt;E90,"Vence antes del último uso",IF(Q90&lt;E90+criterio!$B$4,"Falta margen de vida útil",IF(AND(ISBLANK(H90),L90&lt;&gt;"Adelanto",N(N90)&gt;0,N(M90)&gt;0),"Adelanto en pausa",IF(NOT(ISNUMBER(AM90)),"Previsión",IF(AND(ISNUMBER(H90),N(M90)&gt;0,N(N90)&gt;ROUND(H90-N(I90),3)),"Reasignar sobrante",IF(AND(ISNUMBER(N90),N90&gt;ROUND(AM90-N(I90),3)),"Revisar excedente",IF(AND(ISNUMBER(H90),L90&lt;&gt;"Sí",NOT(AND(N(M90)&gt;0,J90=0))),"Por confirmar",IF(J90=0,"Hecho",IF(AND(ISNUMBER(N90),N90&gt;0),"Completar","Preparar")))))))))))))))))))))))))))))))</f>
        <v/>
      </c>
      <c r="AC90">
        <f t="shared" si="28"/>
        <v>0</v>
      </c>
      <c r="AD90">
        <f>IF(OR(NOT(ISNUMBER(B90)),A90="",NOT(ISNUMBER(Z90)),Z90&lt;=0),0,IF(COUNTIFS($A$9:A90,A90,$B$9:B90,B90,$Z$9:Z90,"&gt;0")=1,1,0))</f>
        <v>0</v>
      </c>
      <c r="AE90">
        <f t="shared" si="29"/>
        <v>0</v>
      </c>
      <c r="AF90">
        <f t="shared" si="30"/>
        <v>0</v>
      </c>
      <c r="AG90" t="str">
        <f>IF(OR(AF90=0,AK90&lt;=0),"",IF(A90="Tsue","Retiro: ","Tanda: ")&amp;ROUND(AE90,3)&amp;" "&amp;F90&amp;". Acordar "&amp;INT(AE90/AK90)&amp;" o "&amp;ROUNDUP(AE90/AK90,0)&amp;IF(A90="Tsue"," envases de 5 L."," porciones de 500 g."))</f>
        <v/>
      </c>
      <c r="AH90">
        <f>IF(COUNTA(A90:E90,H90:I90,K90:L90,N90)=0,0,IF(OR(NOT(ISNUMBER(B90)),B90&lt;'Por semana'!$C$45,B90&gt;'Por semana'!$J$46+6),1,0))</f>
        <v>0</v>
      </c>
      <c r="AI90">
        <f t="shared" si="32"/>
        <v>0</v>
      </c>
      <c r="AJ90">
        <f t="shared" si="33"/>
        <v>0</v>
      </c>
      <c r="AK90">
        <f>IF(R90=0,0,IFERROR(INDEX(criterio!$J$11:$J$22,R90)+0,0))</f>
        <v>0</v>
      </c>
      <c r="AL90" t="str">
        <f t="shared" si="34"/>
        <v/>
      </c>
      <c r="AM90" t="str">
        <f t="shared" si="35"/>
        <v/>
      </c>
    </row>
    <row r="91" spans="1:39" ht="31" customHeight="1">
      <c r="A91" s="11"/>
      <c r="B91" s="19"/>
      <c r="C91" s="19"/>
      <c r="D91" s="19"/>
      <c r="E91" s="19"/>
      <c r="F91" s="10" t="str">
        <f>IF(R91=0,"",INDEX(criterio!$B$11:$B$22,R91))</f>
        <v/>
      </c>
      <c r="G91" s="4" t="str">
        <f>IFERROR(IF(INDEX(criterio!$B$31:$B$111,MATCH(W91,criterio!$A$31:$A$111,0))=A91,INDEX(criterio!$C$31:$C$111,MATCH(W91,criterio!$A$31:$A$111,0)),""),"")</f>
        <v/>
      </c>
      <c r="H91" s="5"/>
      <c r="I91" s="5"/>
      <c r="J91" s="29" t="str">
        <f t="shared" si="24"/>
        <v/>
      </c>
      <c r="K91" s="20"/>
      <c r="L91" s="21"/>
      <c r="M91" s="5"/>
      <c r="N91" s="5"/>
      <c r="O91" s="6" t="str">
        <f t="shared" si="25"/>
        <v/>
      </c>
      <c r="P91" s="10" t="str">
        <f>IFERROR(IF(AND(INDEX(criterio!$I$31:$I$111,MATCH(W91,criterio!$A$31:$A$111,0))=1,INDEX(criterio!$B$31:$B$111,MATCH(W91,criterio!$A$31:$A$111,0))=A91,ISNUMBER(B91),B91&gt;=criterio!$B$5,D91&lt;=criterio!$B$6,E91&gt;=criterio!$B$5),"Fuera de la previa del 20/12",""),"")</f>
        <v/>
      </c>
      <c r="Q91" s="22" t="str">
        <f t="shared" si="26"/>
        <v/>
      </c>
      <c r="R91">
        <f>IFERROR(MATCH(A91,criterio!$A$11:$A$22,0),0)</f>
        <v>0</v>
      </c>
      <c r="S91" t="str">
        <f>IF(R91=0,"",INDEX(criterio!$E$11:$E$22,R91))</f>
        <v/>
      </c>
      <c r="T91" t="str">
        <f>IF(R91=0,"",INDEX(criterio!$C$11:$C$22,R91))</f>
        <v/>
      </c>
      <c r="U91" t="str">
        <f>IF(R91=0,"",INDEX(criterio!$D$11:$D$22,R91))</f>
        <v/>
      </c>
      <c r="V91">
        <f>IF(AND(ISNUMBER(B91),B91=Turno!$B$3,OR(AL91="Preparar",AL91="Completar")),MAX($V$8:V90)+1,0)</f>
        <v>0</v>
      </c>
      <c r="Y91" t="str">
        <f>IF(R91=0,"",INDEX(criterio!$I$11:$I$22,R91))</f>
        <v/>
      </c>
      <c r="Z91" t="str">
        <f t="shared" si="27"/>
        <v/>
      </c>
      <c r="AA91" t="str">
        <f>IF(OR(A91="",COUNT(B91:C91)&lt;&gt;2),"",IF(OR(WEEKDAY(B91,2)&gt;5,COUNTIF(criterio!$B$25:$E$25,B91)&gt;0),"Cambiar día de elaboración",IF(OR(WEEKDAY(C91,2)&gt;5,COUNTIF(criterio!$B$25:$E$25,C91)&gt;0),"Cambiar día de retiro",IF(SUMIF($B$9:$B$128,B91,$AD$9:$AD$128)&gt;criterio!$D$26,"Más de dos recetas",IF(OR(A91="",NOT(ISNUMBER(B91))),"",IF(OR(NOT(ISNUMBER($Q$2)),NOT(ISNUMBER($Q$3)),$Q$2&lt;=0,$Q$3&lt;=0),"Revisar topes de carga",IF(SUMIFS($Z$9:$Z$128,$B$9:$B$128,B91,$F$9:$F$128,"kg")/$Q$2+SUMIFS($Z$9:$Z$128,$B$9:$B$128,B91,$F$9:$F$128,"L")/$Q$3&gt;1.000001,"Repartir carga del día","")))))))</f>
        <v/>
      </c>
      <c r="AB91" t="str">
        <f>IF(COUNTA(A91:E91,H91:I91,K91:N91)=0,"",IF(R91=0,"Elegir producto",IF(COUNT(B91:E91)&lt;&gt;4,"Completar fechas",IF(E91&lt;D91,"Revisar días de uso",IF(C91+criterio!$B$3&gt;D91,"El retiro llega tarde",IF(AND(N91&lt;&gt;"",OR(NOT(ISNUMBER(N91)),N91&lt;0)),"Revisar cantidad hecha",IF(AND(M91&lt;&gt;"",OR(NOT(ISNUMBER(M91)),M91&lt;0)),"Revisar cant. a adelantar",IF(AND(AND(ISBLANK(H91),L91="Adelanto"),NOT(ISNUMBER(AM91))),"Cargar cant. a adelantar",IF(AND(AND(ISBLANK(H91),L91="Adelanto"),I91&lt;&gt;"",OR(NOT(ISNUMBER(I91)),I91&lt;&gt;0)),"Revisar stock del adelanto",IF(AND(ISNUMBER(N91),N91&gt;0,L91&lt;&gt;"Sí",L91&lt;&gt;"Adelanto",N(M91)&lt;=0),"Hecho sin liberar",IF(AND(ISBLANK(H91),L91&lt;&gt;"Adelanto",OR(I91&lt;&gt;"",L91="Sí")),"Falta pedido real",IF(AND(H91&lt;&gt;"",OR(NOT(ISNUMBER(H91)),H91&lt;0)),"Revisar pedido",IF(AND(ISNUMBER(H91),H91=0,N(M91)&gt;0,N(N91)&gt;0,N(I91)=0),"Reasignar sobrante",IF(AND(ISNUMBER(H91),H91=0,OR(N91&gt;0,I91&gt;0)),"Revisar pedido y cantidades",IF(AND(ISNUMBER(H91),H91=0),"Sin pedido",IF(AND(ISNUMBER(H91),ISBLANK(I91)),"Falta anotar stock",IF(AND(I91&lt;&gt;"",OR(NOT(ISNUMBER(I91)),I91&lt;0,AND(ISNUMBER(H91),I91&gt;H91))),"Revisar stock asignado",IF(AND(ISNUMBER(I91),I91&gt;0,NOT(ISNUMBER(K91))),"Falta vencimiento de stock",IF(AND(ISNUMBER(I91),I91&gt;0,K91&lt;E91+criterio!$B$4),"El stock no cubre el uso",IF(AND(ISNUMBER(H91),ISNUMBER(I91),H91=I91,OR(N91="",N91=0)),"Cubierto con stock",IF(B91=criterio!$B$25,"Jornada bloqueada",IF(B91+S91&gt;C91,"No llega al retiro",IF(Q91&lt;E91,"Vence antes del último uso",IF(Q91&lt;E91+criterio!$B$4,"Falta margen de vida útil",IF(AND(ISBLANK(H91),L91&lt;&gt;"Adelanto",N(N91)&gt;0,N(M91)&gt;0),"Adelanto en pausa",IF(NOT(ISNUMBER(AM91)),"Previsión",IF(AND(ISNUMBER(H91),N(M91)&gt;0,N(N91)&gt;ROUND(H91-N(I91),3)),"Reasignar sobrante",IF(AND(ISNUMBER(N91),N91&gt;ROUND(AM91-N(I91),3)),"Revisar excedente",IF(AND(ISNUMBER(H91),L91&lt;&gt;"Sí",NOT(AND(N(M91)&gt;0,J91=0))),"Por confirmar",IF(J91=0,"Hecho",IF(AND(ISNUMBER(N91),N91&gt;0),"Completar","Preparar")))))))))))))))))))))))))))))))</f>
        <v/>
      </c>
      <c r="AC91">
        <f t="shared" si="28"/>
        <v>0</v>
      </c>
      <c r="AD91">
        <f>IF(OR(NOT(ISNUMBER(B91)),A91="",NOT(ISNUMBER(Z91)),Z91&lt;=0),0,IF(COUNTIFS($A$9:A91,A91,$B$9:B91,B91,$Z$9:Z91,"&gt;0")=1,1,0))</f>
        <v>0</v>
      </c>
      <c r="AE91">
        <f t="shared" si="29"/>
        <v>0</v>
      </c>
      <c r="AF91">
        <f t="shared" si="30"/>
        <v>0</v>
      </c>
      <c r="AG91" t="str">
        <f>IF(OR(AF91=0,AK91&lt;=0),"",IF(A91="Tsue","Retiro: ","Tanda: ")&amp;ROUND(AE91,3)&amp;" "&amp;F91&amp;". Acordar "&amp;INT(AE91/AK91)&amp;" o "&amp;ROUNDUP(AE91/AK91,0)&amp;IF(A91="Tsue"," envases de 5 L."," porciones de 500 g."))</f>
        <v/>
      </c>
      <c r="AH91">
        <f>IF(COUNTA(A91:E91,H91:I91,K91:L91,N91)=0,0,IF(OR(NOT(ISNUMBER(B91)),B91&lt;'Por semana'!$C$45,B91&gt;'Por semana'!$J$46+6),1,0))</f>
        <v>0</v>
      </c>
      <c r="AI91">
        <f t="shared" si="32"/>
        <v>0</v>
      </c>
      <c r="AJ91">
        <f t="shared" si="33"/>
        <v>0</v>
      </c>
      <c r="AK91">
        <f>IF(R91=0,0,IFERROR(INDEX(criterio!$J$11:$J$22,R91)+0,0))</f>
        <v>0</v>
      </c>
      <c r="AL91" t="str">
        <f t="shared" si="34"/>
        <v/>
      </c>
      <c r="AM91" t="str">
        <f t="shared" si="35"/>
        <v/>
      </c>
    </row>
    <row r="92" spans="1:39" ht="31" customHeight="1">
      <c r="A92" s="11"/>
      <c r="B92" s="19"/>
      <c r="C92" s="19"/>
      <c r="D92" s="19"/>
      <c r="E92" s="19"/>
      <c r="F92" s="10" t="str">
        <f>IF(R92=0,"",INDEX(criterio!$B$11:$B$22,R92))</f>
        <v/>
      </c>
      <c r="G92" s="4" t="str">
        <f>IFERROR(IF(INDEX(criterio!$B$31:$B$111,MATCH(W92,criterio!$A$31:$A$111,0))=A92,INDEX(criterio!$C$31:$C$111,MATCH(W92,criterio!$A$31:$A$111,0)),""),"")</f>
        <v/>
      </c>
      <c r="H92" s="5"/>
      <c r="I92" s="5"/>
      <c r="J92" s="29" t="str">
        <f t="shared" si="24"/>
        <v/>
      </c>
      <c r="K92" s="20"/>
      <c r="L92" s="21"/>
      <c r="M92" s="5"/>
      <c r="N92" s="5"/>
      <c r="O92" s="6" t="str">
        <f t="shared" si="25"/>
        <v/>
      </c>
      <c r="P92" s="10" t="str">
        <f>IFERROR(IF(AND(INDEX(criterio!$I$31:$I$111,MATCH(W92,criterio!$A$31:$A$111,0))=1,INDEX(criterio!$B$31:$B$111,MATCH(W92,criterio!$A$31:$A$111,0))=A92,ISNUMBER(B92),B92&gt;=criterio!$B$5,D92&lt;=criterio!$B$6,E92&gt;=criterio!$B$5),"Fuera de la previa del 20/12",""),"")</f>
        <v/>
      </c>
      <c r="Q92" s="22" t="str">
        <f t="shared" si="26"/>
        <v/>
      </c>
      <c r="R92">
        <f>IFERROR(MATCH(A92,criterio!$A$11:$A$22,0),0)</f>
        <v>0</v>
      </c>
      <c r="S92" t="str">
        <f>IF(R92=0,"",INDEX(criterio!$E$11:$E$22,R92))</f>
        <v/>
      </c>
      <c r="T92" t="str">
        <f>IF(R92=0,"",INDEX(criterio!$C$11:$C$22,R92))</f>
        <v/>
      </c>
      <c r="U92" t="str">
        <f>IF(R92=0,"",INDEX(criterio!$D$11:$D$22,R92))</f>
        <v/>
      </c>
      <c r="V92">
        <f>IF(AND(ISNUMBER(B92),B92=Turno!$B$3,OR(AL92="Preparar",AL92="Completar")),MAX($V$8:V91)+1,0)</f>
        <v>0</v>
      </c>
      <c r="Y92" t="str">
        <f>IF(R92=0,"",INDEX(criterio!$I$11:$I$22,R92))</f>
        <v/>
      </c>
      <c r="Z92" t="str">
        <f t="shared" si="27"/>
        <v/>
      </c>
      <c r="AA92" t="str">
        <f>IF(OR(A92="",COUNT(B92:C92)&lt;&gt;2),"",IF(OR(WEEKDAY(B92,2)&gt;5,COUNTIF(criterio!$B$25:$E$25,B92)&gt;0),"Cambiar día de elaboración",IF(OR(WEEKDAY(C92,2)&gt;5,COUNTIF(criterio!$B$25:$E$25,C92)&gt;0),"Cambiar día de retiro",IF(SUMIF($B$9:$B$128,B92,$AD$9:$AD$128)&gt;criterio!$D$26,"Más de dos recetas",IF(OR(A92="",NOT(ISNUMBER(B92))),"",IF(OR(NOT(ISNUMBER($Q$2)),NOT(ISNUMBER($Q$3)),$Q$2&lt;=0,$Q$3&lt;=0),"Revisar topes de carga",IF(SUMIFS($Z$9:$Z$128,$B$9:$B$128,B92,$F$9:$F$128,"kg")/$Q$2+SUMIFS($Z$9:$Z$128,$B$9:$B$128,B92,$F$9:$F$128,"L")/$Q$3&gt;1.000001,"Repartir carga del día","")))))))</f>
        <v/>
      </c>
      <c r="AB92" t="str">
        <f>IF(COUNTA(A92:E92,H92:I92,K92:N92)=0,"",IF(R92=0,"Elegir producto",IF(COUNT(B92:E92)&lt;&gt;4,"Completar fechas",IF(E92&lt;D92,"Revisar días de uso",IF(C92+criterio!$B$3&gt;D92,"El retiro llega tarde",IF(AND(N92&lt;&gt;"",OR(NOT(ISNUMBER(N92)),N92&lt;0)),"Revisar cantidad hecha",IF(AND(M92&lt;&gt;"",OR(NOT(ISNUMBER(M92)),M92&lt;0)),"Revisar cant. a adelantar",IF(AND(AND(ISBLANK(H92),L92="Adelanto"),NOT(ISNUMBER(AM92))),"Cargar cant. a adelantar",IF(AND(AND(ISBLANK(H92),L92="Adelanto"),I92&lt;&gt;"",OR(NOT(ISNUMBER(I92)),I92&lt;&gt;0)),"Revisar stock del adelanto",IF(AND(ISNUMBER(N92),N92&gt;0,L92&lt;&gt;"Sí",L92&lt;&gt;"Adelanto",N(M92)&lt;=0),"Hecho sin liberar",IF(AND(ISBLANK(H92),L92&lt;&gt;"Adelanto",OR(I92&lt;&gt;"",L92="Sí")),"Falta pedido real",IF(AND(H92&lt;&gt;"",OR(NOT(ISNUMBER(H92)),H92&lt;0)),"Revisar pedido",IF(AND(ISNUMBER(H92),H92=0,N(M92)&gt;0,N(N92)&gt;0,N(I92)=0),"Reasignar sobrante",IF(AND(ISNUMBER(H92),H92=0,OR(N92&gt;0,I92&gt;0)),"Revisar pedido y cantidades",IF(AND(ISNUMBER(H92),H92=0),"Sin pedido",IF(AND(ISNUMBER(H92),ISBLANK(I92)),"Falta anotar stock",IF(AND(I92&lt;&gt;"",OR(NOT(ISNUMBER(I92)),I92&lt;0,AND(ISNUMBER(H92),I92&gt;H92))),"Revisar stock asignado",IF(AND(ISNUMBER(I92),I92&gt;0,NOT(ISNUMBER(K92))),"Falta vencimiento de stock",IF(AND(ISNUMBER(I92),I92&gt;0,K92&lt;E92+criterio!$B$4),"El stock no cubre el uso",IF(AND(ISNUMBER(H92),ISNUMBER(I92),H92=I92,OR(N92="",N92=0)),"Cubierto con stock",IF(B92=criterio!$B$25,"Jornada bloqueada",IF(B92+S92&gt;C92,"No llega al retiro",IF(Q92&lt;E92,"Vence antes del último uso",IF(Q92&lt;E92+criterio!$B$4,"Falta margen de vida útil",IF(AND(ISBLANK(H92),L92&lt;&gt;"Adelanto",N(N92)&gt;0,N(M92)&gt;0),"Adelanto en pausa",IF(NOT(ISNUMBER(AM92)),"Previsión",IF(AND(ISNUMBER(H92),N(M92)&gt;0,N(N92)&gt;ROUND(H92-N(I92),3)),"Reasignar sobrante",IF(AND(ISNUMBER(N92),N92&gt;ROUND(AM92-N(I92),3)),"Revisar excedente",IF(AND(ISNUMBER(H92),L92&lt;&gt;"Sí",NOT(AND(N(M92)&gt;0,J92=0))),"Por confirmar",IF(J92=0,"Hecho",IF(AND(ISNUMBER(N92),N92&gt;0),"Completar","Preparar")))))))))))))))))))))))))))))))</f>
        <v/>
      </c>
      <c r="AC92">
        <f t="shared" si="28"/>
        <v>0</v>
      </c>
      <c r="AD92">
        <f>IF(OR(NOT(ISNUMBER(B92)),A92="",NOT(ISNUMBER(Z92)),Z92&lt;=0),0,IF(COUNTIFS($A$9:A92,A92,$B$9:B92,B92,$Z$9:Z92,"&gt;0")=1,1,0))</f>
        <v>0</v>
      </c>
      <c r="AE92">
        <f t="shared" si="29"/>
        <v>0</v>
      </c>
      <c r="AF92">
        <f t="shared" si="30"/>
        <v>0</v>
      </c>
      <c r="AG92" t="str">
        <f>IF(OR(AF92=0,AK92&lt;=0),"",IF(A92="Tsue","Retiro: ","Tanda: ")&amp;ROUND(AE92,3)&amp;" "&amp;F92&amp;". Acordar "&amp;INT(AE92/AK92)&amp;" o "&amp;ROUNDUP(AE92/AK92,0)&amp;IF(A92="Tsue"," envases de 5 L."," porciones de 500 g."))</f>
        <v/>
      </c>
      <c r="AH92">
        <f>IF(COUNTA(A92:E92,H92:I92,K92:L92,N92)=0,0,IF(OR(NOT(ISNUMBER(B92)),B92&lt;'Por semana'!$C$45,B92&gt;'Por semana'!$J$46+6),1,0))</f>
        <v>0</v>
      </c>
      <c r="AI92">
        <f t="shared" si="32"/>
        <v>0</v>
      </c>
      <c r="AJ92">
        <f t="shared" si="33"/>
        <v>0</v>
      </c>
      <c r="AK92">
        <f>IF(R92=0,0,IFERROR(INDEX(criterio!$J$11:$J$22,R92)+0,0))</f>
        <v>0</v>
      </c>
      <c r="AL92" t="str">
        <f t="shared" si="34"/>
        <v/>
      </c>
      <c r="AM92" t="str">
        <f t="shared" si="35"/>
        <v/>
      </c>
    </row>
    <row r="93" spans="1:39" ht="31" customHeight="1">
      <c r="A93" s="11"/>
      <c r="B93" s="19"/>
      <c r="C93" s="19"/>
      <c r="D93" s="19"/>
      <c r="E93" s="19"/>
      <c r="F93" s="10" t="str">
        <f>IF(R93=0,"",INDEX(criterio!$B$11:$B$22,R93))</f>
        <v/>
      </c>
      <c r="G93" s="4" t="str">
        <f>IFERROR(IF(INDEX(criterio!$B$31:$B$111,MATCH(W93,criterio!$A$31:$A$111,0))=A93,INDEX(criterio!$C$31:$C$111,MATCH(W93,criterio!$A$31:$A$111,0)),""),"")</f>
        <v/>
      </c>
      <c r="H93" s="5"/>
      <c r="I93" s="5"/>
      <c r="J93" s="29" t="str">
        <f t="shared" si="24"/>
        <v/>
      </c>
      <c r="K93" s="20"/>
      <c r="L93" s="21"/>
      <c r="M93" s="5"/>
      <c r="N93" s="5"/>
      <c r="O93" s="6" t="str">
        <f t="shared" si="25"/>
        <v/>
      </c>
      <c r="P93" s="10" t="str">
        <f>IFERROR(IF(AND(INDEX(criterio!$I$31:$I$111,MATCH(W93,criterio!$A$31:$A$111,0))=1,INDEX(criterio!$B$31:$B$111,MATCH(W93,criterio!$A$31:$A$111,0))=A93,ISNUMBER(B93),B93&gt;=criterio!$B$5,D93&lt;=criterio!$B$6,E93&gt;=criterio!$B$5),"Fuera de la previa del 20/12",""),"")</f>
        <v/>
      </c>
      <c r="Q93" s="22" t="str">
        <f t="shared" si="26"/>
        <v/>
      </c>
      <c r="R93">
        <f>IFERROR(MATCH(A93,criterio!$A$11:$A$22,0),0)</f>
        <v>0</v>
      </c>
      <c r="S93" t="str">
        <f>IF(R93=0,"",INDEX(criterio!$E$11:$E$22,R93))</f>
        <v/>
      </c>
      <c r="T93" t="str">
        <f>IF(R93=0,"",INDEX(criterio!$C$11:$C$22,R93))</f>
        <v/>
      </c>
      <c r="U93" t="str">
        <f>IF(R93=0,"",INDEX(criterio!$D$11:$D$22,R93))</f>
        <v/>
      </c>
      <c r="V93">
        <f>IF(AND(ISNUMBER(B93),B93=Turno!$B$3,OR(AL93="Preparar",AL93="Completar")),MAX($V$8:V92)+1,0)</f>
        <v>0</v>
      </c>
      <c r="Y93" t="str">
        <f>IF(R93=0,"",INDEX(criterio!$I$11:$I$22,R93))</f>
        <v/>
      </c>
      <c r="Z93" t="str">
        <f t="shared" si="27"/>
        <v/>
      </c>
      <c r="AA93" t="str">
        <f>IF(OR(A93="",COUNT(B93:C93)&lt;&gt;2),"",IF(OR(WEEKDAY(B93,2)&gt;5,COUNTIF(criterio!$B$25:$E$25,B93)&gt;0),"Cambiar día de elaboración",IF(OR(WEEKDAY(C93,2)&gt;5,COUNTIF(criterio!$B$25:$E$25,C93)&gt;0),"Cambiar día de retiro",IF(SUMIF($B$9:$B$128,B93,$AD$9:$AD$128)&gt;criterio!$D$26,"Más de dos recetas",IF(OR(A93="",NOT(ISNUMBER(B93))),"",IF(OR(NOT(ISNUMBER($Q$2)),NOT(ISNUMBER($Q$3)),$Q$2&lt;=0,$Q$3&lt;=0),"Revisar topes de carga",IF(SUMIFS($Z$9:$Z$128,$B$9:$B$128,B93,$F$9:$F$128,"kg")/$Q$2+SUMIFS($Z$9:$Z$128,$B$9:$B$128,B93,$F$9:$F$128,"L")/$Q$3&gt;1.000001,"Repartir carga del día","")))))))</f>
        <v/>
      </c>
      <c r="AB93" t="str">
        <f>IF(COUNTA(A93:E93,H93:I93,K93:N93)=0,"",IF(R93=0,"Elegir producto",IF(COUNT(B93:E93)&lt;&gt;4,"Completar fechas",IF(E93&lt;D93,"Revisar días de uso",IF(C93+criterio!$B$3&gt;D93,"El retiro llega tarde",IF(AND(N93&lt;&gt;"",OR(NOT(ISNUMBER(N93)),N93&lt;0)),"Revisar cantidad hecha",IF(AND(M93&lt;&gt;"",OR(NOT(ISNUMBER(M93)),M93&lt;0)),"Revisar cant. a adelantar",IF(AND(AND(ISBLANK(H93),L93="Adelanto"),NOT(ISNUMBER(AM93))),"Cargar cant. a adelantar",IF(AND(AND(ISBLANK(H93),L93="Adelanto"),I93&lt;&gt;"",OR(NOT(ISNUMBER(I93)),I93&lt;&gt;0)),"Revisar stock del adelanto",IF(AND(ISNUMBER(N93),N93&gt;0,L93&lt;&gt;"Sí",L93&lt;&gt;"Adelanto",N(M93)&lt;=0),"Hecho sin liberar",IF(AND(ISBLANK(H93),L93&lt;&gt;"Adelanto",OR(I93&lt;&gt;"",L93="Sí")),"Falta pedido real",IF(AND(H93&lt;&gt;"",OR(NOT(ISNUMBER(H93)),H93&lt;0)),"Revisar pedido",IF(AND(ISNUMBER(H93),H93=0,N(M93)&gt;0,N(N93)&gt;0,N(I93)=0),"Reasignar sobrante",IF(AND(ISNUMBER(H93),H93=0,OR(N93&gt;0,I93&gt;0)),"Revisar pedido y cantidades",IF(AND(ISNUMBER(H93),H93=0),"Sin pedido",IF(AND(ISNUMBER(H93),ISBLANK(I93)),"Falta anotar stock",IF(AND(I93&lt;&gt;"",OR(NOT(ISNUMBER(I93)),I93&lt;0,AND(ISNUMBER(H93),I93&gt;H93))),"Revisar stock asignado",IF(AND(ISNUMBER(I93),I93&gt;0,NOT(ISNUMBER(K93))),"Falta vencimiento de stock",IF(AND(ISNUMBER(I93),I93&gt;0,K93&lt;E93+criterio!$B$4),"El stock no cubre el uso",IF(AND(ISNUMBER(H93),ISNUMBER(I93),H93=I93,OR(N93="",N93=0)),"Cubierto con stock",IF(B93=criterio!$B$25,"Jornada bloqueada",IF(B93+S93&gt;C93,"No llega al retiro",IF(Q93&lt;E93,"Vence antes del último uso",IF(Q93&lt;E93+criterio!$B$4,"Falta margen de vida útil",IF(AND(ISBLANK(H93),L93&lt;&gt;"Adelanto",N(N93)&gt;0,N(M93)&gt;0),"Adelanto en pausa",IF(NOT(ISNUMBER(AM93)),"Previsión",IF(AND(ISNUMBER(H93),N(M93)&gt;0,N(N93)&gt;ROUND(H93-N(I93),3)),"Reasignar sobrante",IF(AND(ISNUMBER(N93),N93&gt;ROUND(AM93-N(I93),3)),"Revisar excedente",IF(AND(ISNUMBER(H93),L93&lt;&gt;"Sí",NOT(AND(N(M93)&gt;0,J93=0))),"Por confirmar",IF(J93=0,"Hecho",IF(AND(ISNUMBER(N93),N93&gt;0),"Completar","Preparar")))))))))))))))))))))))))))))))</f>
        <v/>
      </c>
      <c r="AC93">
        <f t="shared" si="28"/>
        <v>0</v>
      </c>
      <c r="AD93">
        <f>IF(OR(NOT(ISNUMBER(B93)),A93="",NOT(ISNUMBER(Z93)),Z93&lt;=0),0,IF(COUNTIFS($A$9:A93,A93,$B$9:B93,B93,$Z$9:Z93,"&gt;0")=1,1,0))</f>
        <v>0</v>
      </c>
      <c r="AE93">
        <f t="shared" si="29"/>
        <v>0</v>
      </c>
      <c r="AF93">
        <f t="shared" si="30"/>
        <v>0</v>
      </c>
      <c r="AG93" t="str">
        <f>IF(OR(AF93=0,AK93&lt;=0),"",IF(A93="Tsue","Retiro: ","Tanda: ")&amp;ROUND(AE93,3)&amp;" "&amp;F93&amp;". Acordar "&amp;INT(AE93/AK93)&amp;" o "&amp;ROUNDUP(AE93/AK93,0)&amp;IF(A93="Tsue"," envases de 5 L."," porciones de 500 g."))</f>
        <v/>
      </c>
      <c r="AH93">
        <f>IF(COUNTA(A93:E93,H93:I93,K93:L93,N93)=0,0,IF(OR(NOT(ISNUMBER(B93)),B93&lt;'Por semana'!$C$45,B93&gt;'Por semana'!$J$46+6),1,0))</f>
        <v>0</v>
      </c>
      <c r="AI93">
        <f t="shared" si="32"/>
        <v>0</v>
      </c>
      <c r="AJ93">
        <f t="shared" si="33"/>
        <v>0</v>
      </c>
      <c r="AK93">
        <f>IF(R93=0,0,IFERROR(INDEX(criterio!$J$11:$J$22,R93)+0,0))</f>
        <v>0</v>
      </c>
      <c r="AL93" t="str">
        <f t="shared" si="34"/>
        <v/>
      </c>
      <c r="AM93" t="str">
        <f t="shared" si="35"/>
        <v/>
      </c>
    </row>
    <row r="94" spans="1:39" ht="31" customHeight="1">
      <c r="A94" s="11"/>
      <c r="B94" s="19"/>
      <c r="C94" s="19"/>
      <c r="D94" s="19"/>
      <c r="E94" s="19"/>
      <c r="F94" s="10" t="str">
        <f>IF(R94=0,"",INDEX(criterio!$B$11:$B$22,R94))</f>
        <v/>
      </c>
      <c r="G94" s="4" t="str">
        <f>IFERROR(IF(INDEX(criterio!$B$31:$B$111,MATCH(W94,criterio!$A$31:$A$111,0))=A94,INDEX(criterio!$C$31:$C$111,MATCH(W94,criterio!$A$31:$A$111,0)),""),"")</f>
        <v/>
      </c>
      <c r="H94" s="5"/>
      <c r="I94" s="5"/>
      <c r="J94" s="29" t="str">
        <f t="shared" si="24"/>
        <v/>
      </c>
      <c r="K94" s="20"/>
      <c r="L94" s="21"/>
      <c r="M94" s="5"/>
      <c r="N94" s="5"/>
      <c r="O94" s="6" t="str">
        <f t="shared" si="25"/>
        <v/>
      </c>
      <c r="P94" s="10" t="str">
        <f>IFERROR(IF(AND(INDEX(criterio!$I$31:$I$111,MATCH(W94,criterio!$A$31:$A$111,0))=1,INDEX(criterio!$B$31:$B$111,MATCH(W94,criterio!$A$31:$A$111,0))=A94,ISNUMBER(B94),B94&gt;=criterio!$B$5,D94&lt;=criterio!$B$6,E94&gt;=criterio!$B$5),"Fuera de la previa del 20/12",""),"")</f>
        <v/>
      </c>
      <c r="Q94" s="22" t="str">
        <f t="shared" si="26"/>
        <v/>
      </c>
      <c r="R94">
        <f>IFERROR(MATCH(A94,criterio!$A$11:$A$22,0),0)</f>
        <v>0</v>
      </c>
      <c r="S94" t="str">
        <f>IF(R94=0,"",INDEX(criterio!$E$11:$E$22,R94))</f>
        <v/>
      </c>
      <c r="T94" t="str">
        <f>IF(R94=0,"",INDEX(criterio!$C$11:$C$22,R94))</f>
        <v/>
      </c>
      <c r="U94" t="str">
        <f>IF(R94=0,"",INDEX(criterio!$D$11:$D$22,R94))</f>
        <v/>
      </c>
      <c r="V94">
        <f>IF(AND(ISNUMBER(B94),B94=Turno!$B$3,OR(AL94="Preparar",AL94="Completar")),MAX($V$8:V93)+1,0)</f>
        <v>0</v>
      </c>
      <c r="Y94" t="str">
        <f>IF(R94=0,"",INDEX(criterio!$I$11:$I$22,R94))</f>
        <v/>
      </c>
      <c r="Z94" t="str">
        <f t="shared" si="27"/>
        <v/>
      </c>
      <c r="AA94" t="str">
        <f>IF(OR(A94="",COUNT(B94:C94)&lt;&gt;2),"",IF(OR(WEEKDAY(B94,2)&gt;5,COUNTIF(criterio!$B$25:$E$25,B94)&gt;0),"Cambiar día de elaboración",IF(OR(WEEKDAY(C94,2)&gt;5,COUNTIF(criterio!$B$25:$E$25,C94)&gt;0),"Cambiar día de retiro",IF(SUMIF($B$9:$B$128,B94,$AD$9:$AD$128)&gt;criterio!$D$26,"Más de dos recetas",IF(OR(A94="",NOT(ISNUMBER(B94))),"",IF(OR(NOT(ISNUMBER($Q$2)),NOT(ISNUMBER($Q$3)),$Q$2&lt;=0,$Q$3&lt;=0),"Revisar topes de carga",IF(SUMIFS($Z$9:$Z$128,$B$9:$B$128,B94,$F$9:$F$128,"kg")/$Q$2+SUMIFS($Z$9:$Z$128,$B$9:$B$128,B94,$F$9:$F$128,"L")/$Q$3&gt;1.000001,"Repartir carga del día","")))))))</f>
        <v/>
      </c>
      <c r="AB94" t="str">
        <f>IF(COUNTA(A94:E94,H94:I94,K94:N94)=0,"",IF(R94=0,"Elegir producto",IF(COUNT(B94:E94)&lt;&gt;4,"Completar fechas",IF(E94&lt;D94,"Revisar días de uso",IF(C94+criterio!$B$3&gt;D94,"El retiro llega tarde",IF(AND(N94&lt;&gt;"",OR(NOT(ISNUMBER(N94)),N94&lt;0)),"Revisar cantidad hecha",IF(AND(M94&lt;&gt;"",OR(NOT(ISNUMBER(M94)),M94&lt;0)),"Revisar cant. a adelantar",IF(AND(AND(ISBLANK(H94),L94="Adelanto"),NOT(ISNUMBER(AM94))),"Cargar cant. a adelantar",IF(AND(AND(ISBLANK(H94),L94="Adelanto"),I94&lt;&gt;"",OR(NOT(ISNUMBER(I94)),I94&lt;&gt;0)),"Revisar stock del adelanto",IF(AND(ISNUMBER(N94),N94&gt;0,L94&lt;&gt;"Sí",L94&lt;&gt;"Adelanto",N(M94)&lt;=0),"Hecho sin liberar",IF(AND(ISBLANK(H94),L94&lt;&gt;"Adelanto",OR(I94&lt;&gt;"",L94="Sí")),"Falta pedido real",IF(AND(H94&lt;&gt;"",OR(NOT(ISNUMBER(H94)),H94&lt;0)),"Revisar pedido",IF(AND(ISNUMBER(H94),H94=0,N(M94)&gt;0,N(N94)&gt;0,N(I94)=0),"Reasignar sobrante",IF(AND(ISNUMBER(H94),H94=0,OR(N94&gt;0,I94&gt;0)),"Revisar pedido y cantidades",IF(AND(ISNUMBER(H94),H94=0),"Sin pedido",IF(AND(ISNUMBER(H94),ISBLANK(I94)),"Falta anotar stock",IF(AND(I94&lt;&gt;"",OR(NOT(ISNUMBER(I94)),I94&lt;0,AND(ISNUMBER(H94),I94&gt;H94))),"Revisar stock asignado",IF(AND(ISNUMBER(I94),I94&gt;0,NOT(ISNUMBER(K94))),"Falta vencimiento de stock",IF(AND(ISNUMBER(I94),I94&gt;0,K94&lt;E94+criterio!$B$4),"El stock no cubre el uso",IF(AND(ISNUMBER(H94),ISNUMBER(I94),H94=I94,OR(N94="",N94=0)),"Cubierto con stock",IF(B94=criterio!$B$25,"Jornada bloqueada",IF(B94+S94&gt;C94,"No llega al retiro",IF(Q94&lt;E94,"Vence antes del último uso",IF(Q94&lt;E94+criterio!$B$4,"Falta margen de vida útil",IF(AND(ISBLANK(H94),L94&lt;&gt;"Adelanto",N(N94)&gt;0,N(M94)&gt;0),"Adelanto en pausa",IF(NOT(ISNUMBER(AM94)),"Previsión",IF(AND(ISNUMBER(H94),N(M94)&gt;0,N(N94)&gt;ROUND(H94-N(I94),3)),"Reasignar sobrante",IF(AND(ISNUMBER(N94),N94&gt;ROUND(AM94-N(I94),3)),"Revisar excedente",IF(AND(ISNUMBER(H94),L94&lt;&gt;"Sí",NOT(AND(N(M94)&gt;0,J94=0))),"Por confirmar",IF(J94=0,"Hecho",IF(AND(ISNUMBER(N94),N94&gt;0),"Completar","Preparar")))))))))))))))))))))))))))))))</f>
        <v/>
      </c>
      <c r="AC94">
        <f t="shared" si="28"/>
        <v>0</v>
      </c>
      <c r="AD94">
        <f>IF(OR(NOT(ISNUMBER(B94)),A94="",NOT(ISNUMBER(Z94)),Z94&lt;=0),0,IF(COUNTIFS($A$9:A94,A94,$B$9:B94,B94,$Z$9:Z94,"&gt;0")=1,1,0))</f>
        <v>0</v>
      </c>
      <c r="AE94">
        <f t="shared" si="29"/>
        <v>0</v>
      </c>
      <c r="AF94">
        <f t="shared" si="30"/>
        <v>0</v>
      </c>
      <c r="AG94" t="str">
        <f>IF(OR(AF94=0,AK94&lt;=0),"",IF(A94="Tsue","Retiro: ","Tanda: ")&amp;ROUND(AE94,3)&amp;" "&amp;F94&amp;". Acordar "&amp;INT(AE94/AK94)&amp;" o "&amp;ROUNDUP(AE94/AK94,0)&amp;IF(A94="Tsue"," envases de 5 L."," porciones de 500 g."))</f>
        <v/>
      </c>
      <c r="AH94">
        <f>IF(COUNTA(A94:E94,H94:I94,K94:L94,N94)=0,0,IF(OR(NOT(ISNUMBER(B94)),B94&lt;'Por semana'!$C$45,B94&gt;'Por semana'!$J$46+6),1,0))</f>
        <v>0</v>
      </c>
      <c r="AI94">
        <f t="shared" si="32"/>
        <v>0</v>
      </c>
      <c r="AJ94">
        <f t="shared" si="33"/>
        <v>0</v>
      </c>
      <c r="AK94">
        <f>IF(R94=0,0,IFERROR(INDEX(criterio!$J$11:$J$22,R94)+0,0))</f>
        <v>0</v>
      </c>
      <c r="AL94" t="str">
        <f t="shared" si="34"/>
        <v/>
      </c>
      <c r="AM94" t="str">
        <f t="shared" si="35"/>
        <v/>
      </c>
    </row>
    <row r="95" spans="1:39" ht="31" customHeight="1">
      <c r="A95" s="11"/>
      <c r="B95" s="19"/>
      <c r="C95" s="19"/>
      <c r="D95" s="19"/>
      <c r="E95" s="19"/>
      <c r="F95" s="10" t="str">
        <f>IF(R95=0,"",INDEX(criterio!$B$11:$B$22,R95))</f>
        <v/>
      </c>
      <c r="G95" s="4" t="str">
        <f>IFERROR(IF(INDEX(criterio!$B$31:$B$111,MATCH(W95,criterio!$A$31:$A$111,0))=A95,INDEX(criterio!$C$31:$C$111,MATCH(W95,criterio!$A$31:$A$111,0)),""),"")</f>
        <v/>
      </c>
      <c r="H95" s="5"/>
      <c r="I95" s="5"/>
      <c r="J95" s="29" t="str">
        <f t="shared" si="24"/>
        <v/>
      </c>
      <c r="K95" s="20"/>
      <c r="L95" s="21"/>
      <c r="M95" s="5"/>
      <c r="N95" s="5"/>
      <c r="O95" s="6" t="str">
        <f t="shared" si="25"/>
        <v/>
      </c>
      <c r="P95" s="10" t="str">
        <f>IFERROR(IF(AND(INDEX(criterio!$I$31:$I$111,MATCH(W95,criterio!$A$31:$A$111,0))=1,INDEX(criterio!$B$31:$B$111,MATCH(W95,criterio!$A$31:$A$111,0))=A95,ISNUMBER(B95),B95&gt;=criterio!$B$5,D95&lt;=criterio!$B$6,E95&gt;=criterio!$B$5),"Fuera de la previa del 20/12",""),"")</f>
        <v/>
      </c>
      <c r="Q95" s="22" t="str">
        <f t="shared" si="26"/>
        <v/>
      </c>
      <c r="R95">
        <f>IFERROR(MATCH(A95,criterio!$A$11:$A$22,0),0)</f>
        <v>0</v>
      </c>
      <c r="S95" t="str">
        <f>IF(R95=0,"",INDEX(criterio!$E$11:$E$22,R95))</f>
        <v/>
      </c>
      <c r="T95" t="str">
        <f>IF(R95=0,"",INDEX(criterio!$C$11:$C$22,R95))</f>
        <v/>
      </c>
      <c r="U95" t="str">
        <f>IF(R95=0,"",INDEX(criterio!$D$11:$D$22,R95))</f>
        <v/>
      </c>
      <c r="V95">
        <f>IF(AND(ISNUMBER(B95),B95=Turno!$B$3,OR(AL95="Preparar",AL95="Completar")),MAX($V$8:V94)+1,0)</f>
        <v>0</v>
      </c>
      <c r="Y95" t="str">
        <f>IF(R95=0,"",INDEX(criterio!$I$11:$I$22,R95))</f>
        <v/>
      </c>
      <c r="Z95" t="str">
        <f t="shared" si="27"/>
        <v/>
      </c>
      <c r="AA95" t="str">
        <f>IF(OR(A95="",COUNT(B95:C95)&lt;&gt;2),"",IF(OR(WEEKDAY(B95,2)&gt;5,COUNTIF(criterio!$B$25:$E$25,B95)&gt;0),"Cambiar día de elaboración",IF(OR(WEEKDAY(C95,2)&gt;5,COUNTIF(criterio!$B$25:$E$25,C95)&gt;0),"Cambiar día de retiro",IF(SUMIF($B$9:$B$128,B95,$AD$9:$AD$128)&gt;criterio!$D$26,"Más de dos recetas",IF(OR(A95="",NOT(ISNUMBER(B95))),"",IF(OR(NOT(ISNUMBER($Q$2)),NOT(ISNUMBER($Q$3)),$Q$2&lt;=0,$Q$3&lt;=0),"Revisar topes de carga",IF(SUMIFS($Z$9:$Z$128,$B$9:$B$128,B95,$F$9:$F$128,"kg")/$Q$2+SUMIFS($Z$9:$Z$128,$B$9:$B$128,B95,$F$9:$F$128,"L")/$Q$3&gt;1.000001,"Repartir carga del día","")))))))</f>
        <v/>
      </c>
      <c r="AB95" t="str">
        <f>IF(COUNTA(A95:E95,H95:I95,K95:N95)=0,"",IF(R95=0,"Elegir producto",IF(COUNT(B95:E95)&lt;&gt;4,"Completar fechas",IF(E95&lt;D95,"Revisar días de uso",IF(C95+criterio!$B$3&gt;D95,"El retiro llega tarde",IF(AND(N95&lt;&gt;"",OR(NOT(ISNUMBER(N95)),N95&lt;0)),"Revisar cantidad hecha",IF(AND(M95&lt;&gt;"",OR(NOT(ISNUMBER(M95)),M95&lt;0)),"Revisar cant. a adelantar",IF(AND(AND(ISBLANK(H95),L95="Adelanto"),NOT(ISNUMBER(AM95))),"Cargar cant. a adelantar",IF(AND(AND(ISBLANK(H95),L95="Adelanto"),I95&lt;&gt;"",OR(NOT(ISNUMBER(I95)),I95&lt;&gt;0)),"Revisar stock del adelanto",IF(AND(ISNUMBER(N95),N95&gt;0,L95&lt;&gt;"Sí",L95&lt;&gt;"Adelanto",N(M95)&lt;=0),"Hecho sin liberar",IF(AND(ISBLANK(H95),L95&lt;&gt;"Adelanto",OR(I95&lt;&gt;"",L95="Sí")),"Falta pedido real",IF(AND(H95&lt;&gt;"",OR(NOT(ISNUMBER(H95)),H95&lt;0)),"Revisar pedido",IF(AND(ISNUMBER(H95),H95=0,N(M95)&gt;0,N(N95)&gt;0,N(I95)=0),"Reasignar sobrante",IF(AND(ISNUMBER(H95),H95=0,OR(N95&gt;0,I95&gt;0)),"Revisar pedido y cantidades",IF(AND(ISNUMBER(H95),H95=0),"Sin pedido",IF(AND(ISNUMBER(H95),ISBLANK(I95)),"Falta anotar stock",IF(AND(I95&lt;&gt;"",OR(NOT(ISNUMBER(I95)),I95&lt;0,AND(ISNUMBER(H95),I95&gt;H95))),"Revisar stock asignado",IF(AND(ISNUMBER(I95),I95&gt;0,NOT(ISNUMBER(K95))),"Falta vencimiento de stock",IF(AND(ISNUMBER(I95),I95&gt;0,K95&lt;E95+criterio!$B$4),"El stock no cubre el uso",IF(AND(ISNUMBER(H95),ISNUMBER(I95),H95=I95,OR(N95="",N95=0)),"Cubierto con stock",IF(B95=criterio!$B$25,"Jornada bloqueada",IF(B95+S95&gt;C95,"No llega al retiro",IF(Q95&lt;E95,"Vence antes del último uso",IF(Q95&lt;E95+criterio!$B$4,"Falta margen de vida útil",IF(AND(ISBLANK(H95),L95&lt;&gt;"Adelanto",N(N95)&gt;0,N(M95)&gt;0),"Adelanto en pausa",IF(NOT(ISNUMBER(AM95)),"Previsión",IF(AND(ISNUMBER(H95),N(M95)&gt;0,N(N95)&gt;ROUND(H95-N(I95),3)),"Reasignar sobrante",IF(AND(ISNUMBER(N95),N95&gt;ROUND(AM95-N(I95),3)),"Revisar excedente",IF(AND(ISNUMBER(H95),L95&lt;&gt;"Sí",NOT(AND(N(M95)&gt;0,J95=0))),"Por confirmar",IF(J95=0,"Hecho",IF(AND(ISNUMBER(N95),N95&gt;0),"Completar","Preparar")))))))))))))))))))))))))))))))</f>
        <v/>
      </c>
      <c r="AC95">
        <f t="shared" si="28"/>
        <v>0</v>
      </c>
      <c r="AD95">
        <f>IF(OR(NOT(ISNUMBER(B95)),A95="",NOT(ISNUMBER(Z95)),Z95&lt;=0),0,IF(COUNTIFS($A$9:A95,A95,$B$9:B95,B95,$Z$9:Z95,"&gt;0")=1,1,0))</f>
        <v>0</v>
      </c>
      <c r="AE95">
        <f t="shared" si="29"/>
        <v>0</v>
      </c>
      <c r="AF95">
        <f t="shared" si="30"/>
        <v>0</v>
      </c>
      <c r="AG95" t="str">
        <f>IF(OR(AF95=0,AK95&lt;=0),"",IF(A95="Tsue","Retiro: ","Tanda: ")&amp;ROUND(AE95,3)&amp;" "&amp;F95&amp;". Acordar "&amp;INT(AE95/AK95)&amp;" o "&amp;ROUNDUP(AE95/AK95,0)&amp;IF(A95="Tsue"," envases de 5 L."," porciones de 500 g."))</f>
        <v/>
      </c>
      <c r="AH95">
        <f>IF(COUNTA(A95:E95,H95:I95,K95:L95,N95)=0,0,IF(OR(NOT(ISNUMBER(B95)),B95&lt;'Por semana'!$C$45,B95&gt;'Por semana'!$J$46+6),1,0))</f>
        <v>0</v>
      </c>
      <c r="AI95">
        <f t="shared" si="32"/>
        <v>0</v>
      </c>
      <c r="AJ95">
        <f t="shared" si="33"/>
        <v>0</v>
      </c>
      <c r="AK95">
        <f>IF(R95=0,0,IFERROR(INDEX(criterio!$J$11:$J$22,R95)+0,0))</f>
        <v>0</v>
      </c>
      <c r="AL95" t="str">
        <f t="shared" si="34"/>
        <v/>
      </c>
      <c r="AM95" t="str">
        <f t="shared" si="35"/>
        <v/>
      </c>
    </row>
    <row r="96" spans="1:39" ht="31" customHeight="1">
      <c r="A96" s="11"/>
      <c r="B96" s="19"/>
      <c r="C96" s="19"/>
      <c r="D96" s="19"/>
      <c r="E96" s="19"/>
      <c r="F96" s="10" t="str">
        <f>IF(R96=0,"",INDEX(criterio!$B$11:$B$22,R96))</f>
        <v/>
      </c>
      <c r="G96" s="4" t="str">
        <f>IFERROR(IF(INDEX(criterio!$B$31:$B$111,MATCH(W96,criterio!$A$31:$A$111,0))=A96,INDEX(criterio!$C$31:$C$111,MATCH(W96,criterio!$A$31:$A$111,0)),""),"")</f>
        <v/>
      </c>
      <c r="H96" s="5"/>
      <c r="I96" s="5"/>
      <c r="J96" s="29" t="str">
        <f t="shared" si="24"/>
        <v/>
      </c>
      <c r="K96" s="20"/>
      <c r="L96" s="21"/>
      <c r="M96" s="5"/>
      <c r="N96" s="5"/>
      <c r="O96" s="6" t="str">
        <f t="shared" si="25"/>
        <v/>
      </c>
      <c r="P96" s="10" t="str">
        <f>IFERROR(IF(AND(INDEX(criterio!$I$31:$I$111,MATCH(W96,criterio!$A$31:$A$111,0))=1,INDEX(criterio!$B$31:$B$111,MATCH(W96,criterio!$A$31:$A$111,0))=A96,ISNUMBER(B96),B96&gt;=criterio!$B$5,D96&lt;=criterio!$B$6,E96&gt;=criterio!$B$5),"Fuera de la previa del 20/12",""),"")</f>
        <v/>
      </c>
      <c r="Q96" s="22" t="str">
        <f t="shared" si="26"/>
        <v/>
      </c>
      <c r="R96">
        <f>IFERROR(MATCH(A96,criterio!$A$11:$A$22,0),0)</f>
        <v>0</v>
      </c>
      <c r="S96" t="str">
        <f>IF(R96=0,"",INDEX(criterio!$E$11:$E$22,R96))</f>
        <v/>
      </c>
      <c r="T96" t="str">
        <f>IF(R96=0,"",INDEX(criterio!$C$11:$C$22,R96))</f>
        <v/>
      </c>
      <c r="U96" t="str">
        <f>IF(R96=0,"",INDEX(criterio!$D$11:$D$22,R96))</f>
        <v/>
      </c>
      <c r="V96">
        <f>IF(AND(ISNUMBER(B96),B96=Turno!$B$3,OR(AL96="Preparar",AL96="Completar")),MAX($V$8:V95)+1,0)</f>
        <v>0</v>
      </c>
      <c r="Y96" t="str">
        <f>IF(R96=0,"",INDEX(criterio!$I$11:$I$22,R96))</f>
        <v/>
      </c>
      <c r="Z96" t="str">
        <f t="shared" si="27"/>
        <v/>
      </c>
      <c r="AA96" t="str">
        <f>IF(OR(A96="",COUNT(B96:C96)&lt;&gt;2),"",IF(OR(WEEKDAY(B96,2)&gt;5,COUNTIF(criterio!$B$25:$E$25,B96)&gt;0),"Cambiar día de elaboración",IF(OR(WEEKDAY(C96,2)&gt;5,COUNTIF(criterio!$B$25:$E$25,C96)&gt;0),"Cambiar día de retiro",IF(SUMIF($B$9:$B$128,B96,$AD$9:$AD$128)&gt;criterio!$D$26,"Más de dos recetas",IF(OR(A96="",NOT(ISNUMBER(B96))),"",IF(OR(NOT(ISNUMBER($Q$2)),NOT(ISNUMBER($Q$3)),$Q$2&lt;=0,$Q$3&lt;=0),"Revisar topes de carga",IF(SUMIFS($Z$9:$Z$128,$B$9:$B$128,B96,$F$9:$F$128,"kg")/$Q$2+SUMIFS($Z$9:$Z$128,$B$9:$B$128,B96,$F$9:$F$128,"L")/$Q$3&gt;1.000001,"Repartir carga del día","")))))))</f>
        <v/>
      </c>
      <c r="AB96" t="str">
        <f>IF(COUNTA(A96:E96,H96:I96,K96:N96)=0,"",IF(R96=0,"Elegir producto",IF(COUNT(B96:E96)&lt;&gt;4,"Completar fechas",IF(E96&lt;D96,"Revisar días de uso",IF(C96+criterio!$B$3&gt;D96,"El retiro llega tarde",IF(AND(N96&lt;&gt;"",OR(NOT(ISNUMBER(N96)),N96&lt;0)),"Revisar cantidad hecha",IF(AND(M96&lt;&gt;"",OR(NOT(ISNUMBER(M96)),M96&lt;0)),"Revisar cant. a adelantar",IF(AND(AND(ISBLANK(H96),L96="Adelanto"),NOT(ISNUMBER(AM96))),"Cargar cant. a adelantar",IF(AND(AND(ISBLANK(H96),L96="Adelanto"),I96&lt;&gt;"",OR(NOT(ISNUMBER(I96)),I96&lt;&gt;0)),"Revisar stock del adelanto",IF(AND(ISNUMBER(N96),N96&gt;0,L96&lt;&gt;"Sí",L96&lt;&gt;"Adelanto",N(M96)&lt;=0),"Hecho sin liberar",IF(AND(ISBLANK(H96),L96&lt;&gt;"Adelanto",OR(I96&lt;&gt;"",L96="Sí")),"Falta pedido real",IF(AND(H96&lt;&gt;"",OR(NOT(ISNUMBER(H96)),H96&lt;0)),"Revisar pedido",IF(AND(ISNUMBER(H96),H96=0,N(M96)&gt;0,N(N96)&gt;0,N(I96)=0),"Reasignar sobrante",IF(AND(ISNUMBER(H96),H96=0,OR(N96&gt;0,I96&gt;0)),"Revisar pedido y cantidades",IF(AND(ISNUMBER(H96),H96=0),"Sin pedido",IF(AND(ISNUMBER(H96),ISBLANK(I96)),"Falta anotar stock",IF(AND(I96&lt;&gt;"",OR(NOT(ISNUMBER(I96)),I96&lt;0,AND(ISNUMBER(H96),I96&gt;H96))),"Revisar stock asignado",IF(AND(ISNUMBER(I96),I96&gt;0,NOT(ISNUMBER(K96))),"Falta vencimiento de stock",IF(AND(ISNUMBER(I96),I96&gt;0,K96&lt;E96+criterio!$B$4),"El stock no cubre el uso",IF(AND(ISNUMBER(H96),ISNUMBER(I96),H96=I96,OR(N96="",N96=0)),"Cubierto con stock",IF(B96=criterio!$B$25,"Jornada bloqueada",IF(B96+S96&gt;C96,"No llega al retiro",IF(Q96&lt;E96,"Vence antes del último uso",IF(Q96&lt;E96+criterio!$B$4,"Falta margen de vida útil",IF(AND(ISBLANK(H96),L96&lt;&gt;"Adelanto",N(N96)&gt;0,N(M96)&gt;0),"Adelanto en pausa",IF(NOT(ISNUMBER(AM96)),"Previsión",IF(AND(ISNUMBER(H96),N(M96)&gt;0,N(N96)&gt;ROUND(H96-N(I96),3)),"Reasignar sobrante",IF(AND(ISNUMBER(N96),N96&gt;ROUND(AM96-N(I96),3)),"Revisar excedente",IF(AND(ISNUMBER(H96),L96&lt;&gt;"Sí",NOT(AND(N(M96)&gt;0,J96=0))),"Por confirmar",IF(J96=0,"Hecho",IF(AND(ISNUMBER(N96),N96&gt;0),"Completar","Preparar")))))))))))))))))))))))))))))))</f>
        <v/>
      </c>
      <c r="AC96">
        <f t="shared" si="28"/>
        <v>0</v>
      </c>
      <c r="AD96">
        <f>IF(OR(NOT(ISNUMBER(B96)),A96="",NOT(ISNUMBER(Z96)),Z96&lt;=0),0,IF(COUNTIFS($A$9:A96,A96,$B$9:B96,B96,$Z$9:Z96,"&gt;0")=1,1,0))</f>
        <v>0</v>
      </c>
      <c r="AE96">
        <f t="shared" si="29"/>
        <v>0</v>
      </c>
      <c r="AF96">
        <f t="shared" si="30"/>
        <v>0</v>
      </c>
      <c r="AG96" t="str">
        <f>IF(OR(AF96=0,AK96&lt;=0),"",IF(A96="Tsue","Retiro: ","Tanda: ")&amp;ROUND(AE96,3)&amp;" "&amp;F96&amp;". Acordar "&amp;INT(AE96/AK96)&amp;" o "&amp;ROUNDUP(AE96/AK96,0)&amp;IF(A96="Tsue"," envases de 5 L."," porciones de 500 g."))</f>
        <v/>
      </c>
      <c r="AH96">
        <f>IF(COUNTA(A96:E96,H96:I96,K96:L96,N96)=0,0,IF(OR(NOT(ISNUMBER(B96)),B96&lt;'Por semana'!$C$45,B96&gt;'Por semana'!$J$46+6),1,0))</f>
        <v>0</v>
      </c>
      <c r="AI96">
        <f t="shared" si="32"/>
        <v>0</v>
      </c>
      <c r="AJ96">
        <f t="shared" si="33"/>
        <v>0</v>
      </c>
      <c r="AK96">
        <f>IF(R96=0,0,IFERROR(INDEX(criterio!$J$11:$J$22,R96)+0,0))</f>
        <v>0</v>
      </c>
      <c r="AL96" t="str">
        <f t="shared" si="34"/>
        <v/>
      </c>
      <c r="AM96" t="str">
        <f t="shared" si="35"/>
        <v/>
      </c>
    </row>
    <row r="97" spans="1:39" ht="31" customHeight="1">
      <c r="A97" s="11"/>
      <c r="B97" s="19"/>
      <c r="C97" s="19"/>
      <c r="D97" s="19"/>
      <c r="E97" s="19"/>
      <c r="F97" s="10" t="str">
        <f>IF(R97=0,"",INDEX(criterio!$B$11:$B$22,R97))</f>
        <v/>
      </c>
      <c r="G97" s="4" t="str">
        <f>IFERROR(IF(INDEX(criterio!$B$31:$B$111,MATCH(W97,criterio!$A$31:$A$111,0))=A97,INDEX(criterio!$C$31:$C$111,MATCH(W97,criterio!$A$31:$A$111,0)),""),"")</f>
        <v/>
      </c>
      <c r="H97" s="5"/>
      <c r="I97" s="5"/>
      <c r="J97" s="29" t="str">
        <f t="shared" si="24"/>
        <v/>
      </c>
      <c r="K97" s="20"/>
      <c r="L97" s="21"/>
      <c r="M97" s="5"/>
      <c r="N97" s="5"/>
      <c r="O97" s="6" t="str">
        <f t="shared" si="25"/>
        <v/>
      </c>
      <c r="P97" s="10" t="str">
        <f>IFERROR(IF(AND(INDEX(criterio!$I$31:$I$111,MATCH(W97,criterio!$A$31:$A$111,0))=1,INDEX(criterio!$B$31:$B$111,MATCH(W97,criterio!$A$31:$A$111,0))=A97,ISNUMBER(B97),B97&gt;=criterio!$B$5,D97&lt;=criterio!$B$6,E97&gt;=criterio!$B$5),"Fuera de la previa del 20/12",""),"")</f>
        <v/>
      </c>
      <c r="Q97" s="22" t="str">
        <f t="shared" si="26"/>
        <v/>
      </c>
      <c r="R97">
        <f>IFERROR(MATCH(A97,criterio!$A$11:$A$22,0),0)</f>
        <v>0</v>
      </c>
      <c r="S97" t="str">
        <f>IF(R97=0,"",INDEX(criterio!$E$11:$E$22,R97))</f>
        <v/>
      </c>
      <c r="T97" t="str">
        <f>IF(R97=0,"",INDEX(criterio!$C$11:$C$22,R97))</f>
        <v/>
      </c>
      <c r="U97" t="str">
        <f>IF(R97=0,"",INDEX(criterio!$D$11:$D$22,R97))</f>
        <v/>
      </c>
      <c r="V97">
        <f>IF(AND(ISNUMBER(B97),B97=Turno!$B$3,OR(AL97="Preparar",AL97="Completar")),MAX($V$8:V96)+1,0)</f>
        <v>0</v>
      </c>
      <c r="Y97" t="str">
        <f>IF(R97=0,"",INDEX(criterio!$I$11:$I$22,R97))</f>
        <v/>
      </c>
      <c r="Z97" t="str">
        <f t="shared" si="27"/>
        <v/>
      </c>
      <c r="AA97" t="str">
        <f>IF(OR(A97="",COUNT(B97:C97)&lt;&gt;2),"",IF(OR(WEEKDAY(B97,2)&gt;5,COUNTIF(criterio!$B$25:$E$25,B97)&gt;0),"Cambiar día de elaboración",IF(OR(WEEKDAY(C97,2)&gt;5,COUNTIF(criterio!$B$25:$E$25,C97)&gt;0),"Cambiar día de retiro",IF(SUMIF($B$9:$B$128,B97,$AD$9:$AD$128)&gt;criterio!$D$26,"Más de dos recetas",IF(OR(A97="",NOT(ISNUMBER(B97))),"",IF(OR(NOT(ISNUMBER($Q$2)),NOT(ISNUMBER($Q$3)),$Q$2&lt;=0,$Q$3&lt;=0),"Revisar topes de carga",IF(SUMIFS($Z$9:$Z$128,$B$9:$B$128,B97,$F$9:$F$128,"kg")/$Q$2+SUMIFS($Z$9:$Z$128,$B$9:$B$128,B97,$F$9:$F$128,"L")/$Q$3&gt;1.000001,"Repartir carga del día","")))))))</f>
        <v/>
      </c>
      <c r="AB97" t="str">
        <f>IF(COUNTA(A97:E97,H97:I97,K97:N97)=0,"",IF(R97=0,"Elegir producto",IF(COUNT(B97:E97)&lt;&gt;4,"Completar fechas",IF(E97&lt;D97,"Revisar días de uso",IF(C97+criterio!$B$3&gt;D97,"El retiro llega tarde",IF(AND(N97&lt;&gt;"",OR(NOT(ISNUMBER(N97)),N97&lt;0)),"Revisar cantidad hecha",IF(AND(M97&lt;&gt;"",OR(NOT(ISNUMBER(M97)),M97&lt;0)),"Revisar cant. a adelantar",IF(AND(AND(ISBLANK(H97),L97="Adelanto"),NOT(ISNUMBER(AM97))),"Cargar cant. a adelantar",IF(AND(AND(ISBLANK(H97),L97="Adelanto"),I97&lt;&gt;"",OR(NOT(ISNUMBER(I97)),I97&lt;&gt;0)),"Revisar stock del adelanto",IF(AND(ISNUMBER(N97),N97&gt;0,L97&lt;&gt;"Sí",L97&lt;&gt;"Adelanto",N(M97)&lt;=0),"Hecho sin liberar",IF(AND(ISBLANK(H97),L97&lt;&gt;"Adelanto",OR(I97&lt;&gt;"",L97="Sí")),"Falta pedido real",IF(AND(H97&lt;&gt;"",OR(NOT(ISNUMBER(H97)),H97&lt;0)),"Revisar pedido",IF(AND(ISNUMBER(H97),H97=0,N(M97)&gt;0,N(N97)&gt;0,N(I97)=0),"Reasignar sobrante",IF(AND(ISNUMBER(H97),H97=0,OR(N97&gt;0,I97&gt;0)),"Revisar pedido y cantidades",IF(AND(ISNUMBER(H97),H97=0),"Sin pedido",IF(AND(ISNUMBER(H97),ISBLANK(I97)),"Falta anotar stock",IF(AND(I97&lt;&gt;"",OR(NOT(ISNUMBER(I97)),I97&lt;0,AND(ISNUMBER(H97),I97&gt;H97))),"Revisar stock asignado",IF(AND(ISNUMBER(I97),I97&gt;0,NOT(ISNUMBER(K97))),"Falta vencimiento de stock",IF(AND(ISNUMBER(I97),I97&gt;0,K97&lt;E97+criterio!$B$4),"El stock no cubre el uso",IF(AND(ISNUMBER(H97),ISNUMBER(I97),H97=I97,OR(N97="",N97=0)),"Cubierto con stock",IF(B97=criterio!$B$25,"Jornada bloqueada",IF(B97+S97&gt;C97,"No llega al retiro",IF(Q97&lt;E97,"Vence antes del último uso",IF(Q97&lt;E97+criterio!$B$4,"Falta margen de vida útil",IF(AND(ISBLANK(H97),L97&lt;&gt;"Adelanto",N(N97)&gt;0,N(M97)&gt;0),"Adelanto en pausa",IF(NOT(ISNUMBER(AM97)),"Previsión",IF(AND(ISNUMBER(H97),N(M97)&gt;0,N(N97)&gt;ROUND(H97-N(I97),3)),"Reasignar sobrante",IF(AND(ISNUMBER(N97),N97&gt;ROUND(AM97-N(I97),3)),"Revisar excedente",IF(AND(ISNUMBER(H97),L97&lt;&gt;"Sí",NOT(AND(N(M97)&gt;0,J97=0))),"Por confirmar",IF(J97=0,"Hecho",IF(AND(ISNUMBER(N97),N97&gt;0),"Completar","Preparar")))))))))))))))))))))))))))))))</f>
        <v/>
      </c>
      <c r="AC97">
        <f t="shared" si="28"/>
        <v>0</v>
      </c>
      <c r="AD97">
        <f>IF(OR(NOT(ISNUMBER(B97)),A97="",NOT(ISNUMBER(Z97)),Z97&lt;=0),0,IF(COUNTIFS($A$9:A97,A97,$B$9:B97,B97,$Z$9:Z97,"&gt;0")=1,1,0))</f>
        <v>0</v>
      </c>
      <c r="AE97">
        <f t="shared" si="29"/>
        <v>0</v>
      </c>
      <c r="AF97">
        <f t="shared" si="30"/>
        <v>0</v>
      </c>
      <c r="AG97" t="str">
        <f>IF(OR(AF97=0,AK97&lt;=0),"",IF(A97="Tsue","Retiro: ","Tanda: ")&amp;ROUND(AE97,3)&amp;" "&amp;F97&amp;". Acordar "&amp;INT(AE97/AK97)&amp;" o "&amp;ROUNDUP(AE97/AK97,0)&amp;IF(A97="Tsue"," envases de 5 L."," porciones de 500 g."))</f>
        <v/>
      </c>
      <c r="AH97">
        <f>IF(COUNTA(A97:E97,H97:I97,K97:L97,N97)=0,0,IF(OR(NOT(ISNUMBER(B97)),B97&lt;'Por semana'!$C$45,B97&gt;'Por semana'!$J$46+6),1,0))</f>
        <v>0</v>
      </c>
      <c r="AI97">
        <f t="shared" si="32"/>
        <v>0</v>
      </c>
      <c r="AJ97">
        <f t="shared" si="33"/>
        <v>0</v>
      </c>
      <c r="AK97">
        <f>IF(R97=0,0,IFERROR(INDEX(criterio!$J$11:$J$22,R97)+0,0))</f>
        <v>0</v>
      </c>
      <c r="AL97" t="str">
        <f t="shared" si="34"/>
        <v/>
      </c>
      <c r="AM97" t="str">
        <f t="shared" si="35"/>
        <v/>
      </c>
    </row>
    <row r="98" spans="1:39" ht="31" customHeight="1">
      <c r="A98" s="11"/>
      <c r="B98" s="19"/>
      <c r="C98" s="19"/>
      <c r="D98" s="19"/>
      <c r="E98" s="19"/>
      <c r="F98" s="10" t="str">
        <f>IF(R98=0,"",INDEX(criterio!$B$11:$B$22,R98))</f>
        <v/>
      </c>
      <c r="G98" s="4" t="str">
        <f>IFERROR(IF(INDEX(criterio!$B$31:$B$111,MATCH(W98,criterio!$A$31:$A$111,0))=A98,INDEX(criterio!$C$31:$C$111,MATCH(W98,criterio!$A$31:$A$111,0)),""),"")</f>
        <v/>
      </c>
      <c r="H98" s="5"/>
      <c r="I98" s="5"/>
      <c r="J98" s="29" t="str">
        <f t="shared" si="24"/>
        <v/>
      </c>
      <c r="K98" s="20"/>
      <c r="L98" s="21"/>
      <c r="M98" s="5"/>
      <c r="N98" s="5"/>
      <c r="O98" s="6" t="str">
        <f t="shared" si="25"/>
        <v/>
      </c>
      <c r="P98" s="10" t="str">
        <f>IFERROR(IF(AND(INDEX(criterio!$I$31:$I$111,MATCH(W98,criterio!$A$31:$A$111,0))=1,INDEX(criterio!$B$31:$B$111,MATCH(W98,criterio!$A$31:$A$111,0))=A98,ISNUMBER(B98),B98&gt;=criterio!$B$5,D98&lt;=criterio!$B$6,E98&gt;=criterio!$B$5),"Fuera de la previa del 20/12",""),"")</f>
        <v/>
      </c>
      <c r="Q98" s="22" t="str">
        <f t="shared" si="26"/>
        <v/>
      </c>
      <c r="R98">
        <f>IFERROR(MATCH(A98,criterio!$A$11:$A$22,0),0)</f>
        <v>0</v>
      </c>
      <c r="S98" t="str">
        <f>IF(R98=0,"",INDEX(criterio!$E$11:$E$22,R98))</f>
        <v/>
      </c>
      <c r="T98" t="str">
        <f>IF(R98=0,"",INDEX(criterio!$C$11:$C$22,R98))</f>
        <v/>
      </c>
      <c r="U98" t="str">
        <f>IF(R98=0,"",INDEX(criterio!$D$11:$D$22,R98))</f>
        <v/>
      </c>
      <c r="V98">
        <f>IF(AND(ISNUMBER(B98),B98=Turno!$B$3,OR(AL98="Preparar",AL98="Completar")),MAX($V$8:V97)+1,0)</f>
        <v>0</v>
      </c>
      <c r="Y98" t="str">
        <f>IF(R98=0,"",INDEX(criterio!$I$11:$I$22,R98))</f>
        <v/>
      </c>
      <c r="Z98" t="str">
        <f t="shared" si="27"/>
        <v/>
      </c>
      <c r="AA98" t="str">
        <f>IF(OR(A98="",COUNT(B98:C98)&lt;&gt;2),"",IF(OR(WEEKDAY(B98,2)&gt;5,COUNTIF(criterio!$B$25:$E$25,B98)&gt;0),"Cambiar día de elaboración",IF(OR(WEEKDAY(C98,2)&gt;5,COUNTIF(criterio!$B$25:$E$25,C98)&gt;0),"Cambiar día de retiro",IF(SUMIF($B$9:$B$128,B98,$AD$9:$AD$128)&gt;criterio!$D$26,"Más de dos recetas",IF(OR(A98="",NOT(ISNUMBER(B98))),"",IF(OR(NOT(ISNUMBER($Q$2)),NOT(ISNUMBER($Q$3)),$Q$2&lt;=0,$Q$3&lt;=0),"Revisar topes de carga",IF(SUMIFS($Z$9:$Z$128,$B$9:$B$128,B98,$F$9:$F$128,"kg")/$Q$2+SUMIFS($Z$9:$Z$128,$B$9:$B$128,B98,$F$9:$F$128,"L")/$Q$3&gt;1.000001,"Repartir carga del día","")))))))</f>
        <v/>
      </c>
      <c r="AB98" t="str">
        <f>IF(COUNTA(A98:E98,H98:I98,K98:N98)=0,"",IF(R98=0,"Elegir producto",IF(COUNT(B98:E98)&lt;&gt;4,"Completar fechas",IF(E98&lt;D98,"Revisar días de uso",IF(C98+criterio!$B$3&gt;D98,"El retiro llega tarde",IF(AND(N98&lt;&gt;"",OR(NOT(ISNUMBER(N98)),N98&lt;0)),"Revisar cantidad hecha",IF(AND(M98&lt;&gt;"",OR(NOT(ISNUMBER(M98)),M98&lt;0)),"Revisar cant. a adelantar",IF(AND(AND(ISBLANK(H98),L98="Adelanto"),NOT(ISNUMBER(AM98))),"Cargar cant. a adelantar",IF(AND(AND(ISBLANK(H98),L98="Adelanto"),I98&lt;&gt;"",OR(NOT(ISNUMBER(I98)),I98&lt;&gt;0)),"Revisar stock del adelanto",IF(AND(ISNUMBER(N98),N98&gt;0,L98&lt;&gt;"Sí",L98&lt;&gt;"Adelanto",N(M98)&lt;=0),"Hecho sin liberar",IF(AND(ISBLANK(H98),L98&lt;&gt;"Adelanto",OR(I98&lt;&gt;"",L98="Sí")),"Falta pedido real",IF(AND(H98&lt;&gt;"",OR(NOT(ISNUMBER(H98)),H98&lt;0)),"Revisar pedido",IF(AND(ISNUMBER(H98),H98=0,N(M98)&gt;0,N(N98)&gt;0,N(I98)=0),"Reasignar sobrante",IF(AND(ISNUMBER(H98),H98=0,OR(N98&gt;0,I98&gt;0)),"Revisar pedido y cantidades",IF(AND(ISNUMBER(H98),H98=0),"Sin pedido",IF(AND(ISNUMBER(H98),ISBLANK(I98)),"Falta anotar stock",IF(AND(I98&lt;&gt;"",OR(NOT(ISNUMBER(I98)),I98&lt;0,AND(ISNUMBER(H98),I98&gt;H98))),"Revisar stock asignado",IF(AND(ISNUMBER(I98),I98&gt;0,NOT(ISNUMBER(K98))),"Falta vencimiento de stock",IF(AND(ISNUMBER(I98),I98&gt;0,K98&lt;E98+criterio!$B$4),"El stock no cubre el uso",IF(AND(ISNUMBER(H98),ISNUMBER(I98),H98=I98,OR(N98="",N98=0)),"Cubierto con stock",IF(B98=criterio!$B$25,"Jornada bloqueada",IF(B98+S98&gt;C98,"No llega al retiro",IF(Q98&lt;E98,"Vence antes del último uso",IF(Q98&lt;E98+criterio!$B$4,"Falta margen de vida útil",IF(AND(ISBLANK(H98),L98&lt;&gt;"Adelanto",N(N98)&gt;0,N(M98)&gt;0),"Adelanto en pausa",IF(NOT(ISNUMBER(AM98)),"Previsión",IF(AND(ISNUMBER(H98),N(M98)&gt;0,N(N98)&gt;ROUND(H98-N(I98),3)),"Reasignar sobrante",IF(AND(ISNUMBER(N98),N98&gt;ROUND(AM98-N(I98),3)),"Revisar excedente",IF(AND(ISNUMBER(H98),L98&lt;&gt;"Sí",NOT(AND(N(M98)&gt;0,J98=0))),"Por confirmar",IF(J98=0,"Hecho",IF(AND(ISNUMBER(N98),N98&gt;0),"Completar","Preparar")))))))))))))))))))))))))))))))</f>
        <v/>
      </c>
      <c r="AC98">
        <f t="shared" si="28"/>
        <v>0</v>
      </c>
      <c r="AD98">
        <f>IF(OR(NOT(ISNUMBER(B98)),A98="",NOT(ISNUMBER(Z98)),Z98&lt;=0),0,IF(COUNTIFS($A$9:A98,A98,$B$9:B98,B98,$Z$9:Z98,"&gt;0")=1,1,0))</f>
        <v>0</v>
      </c>
      <c r="AE98">
        <f t="shared" si="29"/>
        <v>0</v>
      </c>
      <c r="AF98">
        <f t="shared" si="30"/>
        <v>0</v>
      </c>
      <c r="AG98" t="str">
        <f>IF(OR(AF98=0,AK98&lt;=0),"",IF(A98="Tsue","Retiro: ","Tanda: ")&amp;ROUND(AE98,3)&amp;" "&amp;F98&amp;". Acordar "&amp;INT(AE98/AK98)&amp;" o "&amp;ROUNDUP(AE98/AK98,0)&amp;IF(A98="Tsue"," envases de 5 L."," porciones de 500 g."))</f>
        <v/>
      </c>
      <c r="AH98">
        <f>IF(COUNTA(A98:E98,H98:I98,K98:L98,N98)=0,0,IF(OR(NOT(ISNUMBER(B98)),B98&lt;'Por semana'!$C$45,B98&gt;'Por semana'!$J$46+6),1,0))</f>
        <v>0</v>
      </c>
      <c r="AI98">
        <f t="shared" si="32"/>
        <v>0</v>
      </c>
      <c r="AJ98">
        <f t="shared" si="33"/>
        <v>0</v>
      </c>
      <c r="AK98">
        <f>IF(R98=0,0,IFERROR(INDEX(criterio!$J$11:$J$22,R98)+0,0))</f>
        <v>0</v>
      </c>
      <c r="AL98" t="str">
        <f t="shared" si="34"/>
        <v/>
      </c>
      <c r="AM98" t="str">
        <f t="shared" si="35"/>
        <v/>
      </c>
    </row>
    <row r="99" spans="1:39" ht="31" customHeight="1">
      <c r="A99" s="11"/>
      <c r="B99" s="19"/>
      <c r="C99" s="19"/>
      <c r="D99" s="19"/>
      <c r="E99" s="19"/>
      <c r="F99" s="10" t="str">
        <f>IF(R99=0,"",INDEX(criterio!$B$11:$B$22,R99))</f>
        <v/>
      </c>
      <c r="G99" s="4" t="str">
        <f>IFERROR(IF(INDEX(criterio!$B$31:$B$111,MATCH(W99,criterio!$A$31:$A$111,0))=A99,INDEX(criterio!$C$31:$C$111,MATCH(W99,criterio!$A$31:$A$111,0)),""),"")</f>
        <v/>
      </c>
      <c r="H99" s="5"/>
      <c r="I99" s="5"/>
      <c r="J99" s="29" t="str">
        <f t="shared" si="24"/>
        <v/>
      </c>
      <c r="K99" s="20"/>
      <c r="L99" s="21"/>
      <c r="M99" s="5"/>
      <c r="N99" s="5"/>
      <c r="O99" s="6" t="str">
        <f t="shared" si="25"/>
        <v/>
      </c>
      <c r="P99" s="10" t="str">
        <f>IFERROR(IF(AND(INDEX(criterio!$I$31:$I$111,MATCH(W99,criterio!$A$31:$A$111,0))=1,INDEX(criterio!$B$31:$B$111,MATCH(W99,criterio!$A$31:$A$111,0))=A99,ISNUMBER(B99),B99&gt;=criterio!$B$5,D99&lt;=criterio!$B$6,E99&gt;=criterio!$B$5),"Fuera de la previa del 20/12",""),"")</f>
        <v/>
      </c>
      <c r="Q99" s="22" t="str">
        <f t="shared" si="26"/>
        <v/>
      </c>
      <c r="R99">
        <f>IFERROR(MATCH(A99,criterio!$A$11:$A$22,0),0)</f>
        <v>0</v>
      </c>
      <c r="S99" t="str">
        <f>IF(R99=0,"",INDEX(criterio!$E$11:$E$22,R99))</f>
        <v/>
      </c>
      <c r="T99" t="str">
        <f>IF(R99=0,"",INDEX(criterio!$C$11:$C$22,R99))</f>
        <v/>
      </c>
      <c r="U99" t="str">
        <f>IF(R99=0,"",INDEX(criterio!$D$11:$D$22,R99))</f>
        <v/>
      </c>
      <c r="V99">
        <f>IF(AND(ISNUMBER(B99),B99=Turno!$B$3,OR(AL99="Preparar",AL99="Completar")),MAX($V$8:V98)+1,0)</f>
        <v>0</v>
      </c>
      <c r="Y99" t="str">
        <f>IF(R99=0,"",INDEX(criterio!$I$11:$I$22,R99))</f>
        <v/>
      </c>
      <c r="Z99" t="str">
        <f t="shared" si="27"/>
        <v/>
      </c>
      <c r="AA99" t="str">
        <f>IF(OR(A99="",COUNT(B99:C99)&lt;&gt;2),"",IF(OR(WEEKDAY(B99,2)&gt;5,COUNTIF(criterio!$B$25:$E$25,B99)&gt;0),"Cambiar día de elaboración",IF(OR(WEEKDAY(C99,2)&gt;5,COUNTIF(criterio!$B$25:$E$25,C99)&gt;0),"Cambiar día de retiro",IF(SUMIF($B$9:$B$128,B99,$AD$9:$AD$128)&gt;criterio!$D$26,"Más de dos recetas",IF(OR(A99="",NOT(ISNUMBER(B99))),"",IF(OR(NOT(ISNUMBER($Q$2)),NOT(ISNUMBER($Q$3)),$Q$2&lt;=0,$Q$3&lt;=0),"Revisar topes de carga",IF(SUMIFS($Z$9:$Z$128,$B$9:$B$128,B99,$F$9:$F$128,"kg")/$Q$2+SUMIFS($Z$9:$Z$128,$B$9:$B$128,B99,$F$9:$F$128,"L")/$Q$3&gt;1.000001,"Repartir carga del día","")))))))</f>
        <v/>
      </c>
      <c r="AB99" t="str">
        <f>IF(COUNTA(A99:E99,H99:I99,K99:N99)=0,"",IF(R99=0,"Elegir producto",IF(COUNT(B99:E99)&lt;&gt;4,"Completar fechas",IF(E99&lt;D99,"Revisar días de uso",IF(C99+criterio!$B$3&gt;D99,"El retiro llega tarde",IF(AND(N99&lt;&gt;"",OR(NOT(ISNUMBER(N99)),N99&lt;0)),"Revisar cantidad hecha",IF(AND(M99&lt;&gt;"",OR(NOT(ISNUMBER(M99)),M99&lt;0)),"Revisar cant. a adelantar",IF(AND(AND(ISBLANK(H99),L99="Adelanto"),NOT(ISNUMBER(AM99))),"Cargar cant. a adelantar",IF(AND(AND(ISBLANK(H99),L99="Adelanto"),I99&lt;&gt;"",OR(NOT(ISNUMBER(I99)),I99&lt;&gt;0)),"Revisar stock del adelanto",IF(AND(ISNUMBER(N99),N99&gt;0,L99&lt;&gt;"Sí",L99&lt;&gt;"Adelanto",N(M99)&lt;=0),"Hecho sin liberar",IF(AND(ISBLANK(H99),L99&lt;&gt;"Adelanto",OR(I99&lt;&gt;"",L99="Sí")),"Falta pedido real",IF(AND(H99&lt;&gt;"",OR(NOT(ISNUMBER(H99)),H99&lt;0)),"Revisar pedido",IF(AND(ISNUMBER(H99),H99=0,N(M99)&gt;0,N(N99)&gt;0,N(I99)=0),"Reasignar sobrante",IF(AND(ISNUMBER(H99),H99=0,OR(N99&gt;0,I99&gt;0)),"Revisar pedido y cantidades",IF(AND(ISNUMBER(H99),H99=0),"Sin pedido",IF(AND(ISNUMBER(H99),ISBLANK(I99)),"Falta anotar stock",IF(AND(I99&lt;&gt;"",OR(NOT(ISNUMBER(I99)),I99&lt;0,AND(ISNUMBER(H99),I99&gt;H99))),"Revisar stock asignado",IF(AND(ISNUMBER(I99),I99&gt;0,NOT(ISNUMBER(K99))),"Falta vencimiento de stock",IF(AND(ISNUMBER(I99),I99&gt;0,K99&lt;E99+criterio!$B$4),"El stock no cubre el uso",IF(AND(ISNUMBER(H99),ISNUMBER(I99),H99=I99,OR(N99="",N99=0)),"Cubierto con stock",IF(B99=criterio!$B$25,"Jornada bloqueada",IF(B99+S99&gt;C99,"No llega al retiro",IF(Q99&lt;E99,"Vence antes del último uso",IF(Q99&lt;E99+criterio!$B$4,"Falta margen de vida útil",IF(AND(ISBLANK(H99),L99&lt;&gt;"Adelanto",N(N99)&gt;0,N(M99)&gt;0),"Adelanto en pausa",IF(NOT(ISNUMBER(AM99)),"Previsión",IF(AND(ISNUMBER(H99),N(M99)&gt;0,N(N99)&gt;ROUND(H99-N(I99),3)),"Reasignar sobrante",IF(AND(ISNUMBER(N99),N99&gt;ROUND(AM99-N(I99),3)),"Revisar excedente",IF(AND(ISNUMBER(H99),L99&lt;&gt;"Sí",NOT(AND(N(M99)&gt;0,J99=0))),"Por confirmar",IF(J99=0,"Hecho",IF(AND(ISNUMBER(N99),N99&gt;0),"Completar","Preparar")))))))))))))))))))))))))))))))</f>
        <v/>
      </c>
      <c r="AC99">
        <f t="shared" si="28"/>
        <v>0</v>
      </c>
      <c r="AD99">
        <f>IF(OR(NOT(ISNUMBER(B99)),A99="",NOT(ISNUMBER(Z99)),Z99&lt;=0),0,IF(COUNTIFS($A$9:A99,A99,$B$9:B99,B99,$Z$9:Z99,"&gt;0")=1,1,0))</f>
        <v>0</v>
      </c>
      <c r="AE99">
        <f t="shared" si="29"/>
        <v>0</v>
      </c>
      <c r="AF99">
        <f t="shared" si="30"/>
        <v>0</v>
      </c>
      <c r="AG99" t="str">
        <f>IF(OR(AF99=0,AK99&lt;=0),"",IF(A99="Tsue","Retiro: ","Tanda: ")&amp;ROUND(AE99,3)&amp;" "&amp;F99&amp;". Acordar "&amp;INT(AE99/AK99)&amp;" o "&amp;ROUNDUP(AE99/AK99,0)&amp;IF(A99="Tsue"," envases de 5 L."," porciones de 500 g."))</f>
        <v/>
      </c>
      <c r="AH99">
        <f>IF(COUNTA(A99:E99,H99:I99,K99:L99,N99)=0,0,IF(OR(NOT(ISNUMBER(B99)),B99&lt;'Por semana'!$C$45,B99&gt;'Por semana'!$J$46+6),1,0))</f>
        <v>0</v>
      </c>
      <c r="AI99">
        <f t="shared" si="32"/>
        <v>0</v>
      </c>
      <c r="AJ99">
        <f t="shared" si="33"/>
        <v>0</v>
      </c>
      <c r="AK99">
        <f>IF(R99=0,0,IFERROR(INDEX(criterio!$J$11:$J$22,R99)+0,0))</f>
        <v>0</v>
      </c>
      <c r="AL99" t="str">
        <f t="shared" si="34"/>
        <v/>
      </c>
      <c r="AM99" t="str">
        <f t="shared" si="35"/>
        <v/>
      </c>
    </row>
    <row r="100" spans="1:39" ht="31" customHeight="1">
      <c r="A100" s="11"/>
      <c r="B100" s="19"/>
      <c r="C100" s="19"/>
      <c r="D100" s="19"/>
      <c r="E100" s="19"/>
      <c r="F100" s="10" t="str">
        <f>IF(R100=0,"",INDEX(criterio!$B$11:$B$22,R100))</f>
        <v/>
      </c>
      <c r="G100" s="4" t="str">
        <f>IFERROR(IF(INDEX(criterio!$B$31:$B$111,MATCH(W100,criterio!$A$31:$A$111,0))=A100,INDEX(criterio!$C$31:$C$111,MATCH(W100,criterio!$A$31:$A$111,0)),""),"")</f>
        <v/>
      </c>
      <c r="H100" s="5"/>
      <c r="I100" s="5"/>
      <c r="J100" s="29" t="str">
        <f t="shared" si="24"/>
        <v/>
      </c>
      <c r="K100" s="20"/>
      <c r="L100" s="21"/>
      <c r="M100" s="5"/>
      <c r="N100" s="5"/>
      <c r="O100" s="6" t="str">
        <f t="shared" si="25"/>
        <v/>
      </c>
      <c r="P100" s="10" t="str">
        <f>IFERROR(IF(AND(INDEX(criterio!$I$31:$I$111,MATCH(W100,criterio!$A$31:$A$111,0))=1,INDEX(criterio!$B$31:$B$111,MATCH(W100,criterio!$A$31:$A$111,0))=A100,ISNUMBER(B100),B100&gt;=criterio!$B$5,D100&lt;=criterio!$B$6,E100&gt;=criterio!$B$5),"Fuera de la previa del 20/12",""),"")</f>
        <v/>
      </c>
      <c r="Q100" s="22" t="str">
        <f t="shared" si="26"/>
        <v/>
      </c>
      <c r="R100">
        <f>IFERROR(MATCH(A100,criterio!$A$11:$A$22,0),0)</f>
        <v>0</v>
      </c>
      <c r="S100" t="str">
        <f>IF(R100=0,"",INDEX(criterio!$E$11:$E$22,R100))</f>
        <v/>
      </c>
      <c r="T100" t="str">
        <f>IF(R100=0,"",INDEX(criterio!$C$11:$C$22,R100))</f>
        <v/>
      </c>
      <c r="U100" t="str">
        <f>IF(R100=0,"",INDEX(criterio!$D$11:$D$22,R100))</f>
        <v/>
      </c>
      <c r="V100">
        <f>IF(AND(ISNUMBER(B100),B100=Turno!$B$3,OR(AL100="Preparar",AL100="Completar")),MAX($V$8:V99)+1,0)</f>
        <v>0</v>
      </c>
      <c r="Y100" t="str">
        <f>IF(R100=0,"",INDEX(criterio!$I$11:$I$22,R100))</f>
        <v/>
      </c>
      <c r="Z100" t="str">
        <f t="shared" si="27"/>
        <v/>
      </c>
      <c r="AA100" t="str">
        <f>IF(OR(A100="",COUNT(B100:C100)&lt;&gt;2),"",IF(OR(WEEKDAY(B100,2)&gt;5,COUNTIF(criterio!$B$25:$E$25,B100)&gt;0),"Cambiar día de elaboración",IF(OR(WEEKDAY(C100,2)&gt;5,COUNTIF(criterio!$B$25:$E$25,C100)&gt;0),"Cambiar día de retiro",IF(SUMIF($B$9:$B$128,B100,$AD$9:$AD$128)&gt;criterio!$D$26,"Más de dos recetas",IF(OR(A100="",NOT(ISNUMBER(B100))),"",IF(OR(NOT(ISNUMBER($Q$2)),NOT(ISNUMBER($Q$3)),$Q$2&lt;=0,$Q$3&lt;=0),"Revisar topes de carga",IF(SUMIFS($Z$9:$Z$128,$B$9:$B$128,B100,$F$9:$F$128,"kg")/$Q$2+SUMIFS($Z$9:$Z$128,$B$9:$B$128,B100,$F$9:$F$128,"L")/$Q$3&gt;1.000001,"Repartir carga del día","")))))))</f>
        <v/>
      </c>
      <c r="AB100" t="str">
        <f>IF(COUNTA(A100:E100,H100:I100,K100:N100)=0,"",IF(R100=0,"Elegir producto",IF(COUNT(B100:E100)&lt;&gt;4,"Completar fechas",IF(E100&lt;D100,"Revisar días de uso",IF(C100+criterio!$B$3&gt;D100,"El retiro llega tarde",IF(AND(N100&lt;&gt;"",OR(NOT(ISNUMBER(N100)),N100&lt;0)),"Revisar cantidad hecha",IF(AND(M100&lt;&gt;"",OR(NOT(ISNUMBER(M100)),M100&lt;0)),"Revisar cant. a adelantar",IF(AND(AND(ISBLANK(H100),L100="Adelanto"),NOT(ISNUMBER(AM100))),"Cargar cant. a adelantar",IF(AND(AND(ISBLANK(H100),L100="Adelanto"),I100&lt;&gt;"",OR(NOT(ISNUMBER(I100)),I100&lt;&gt;0)),"Revisar stock del adelanto",IF(AND(ISNUMBER(N100),N100&gt;0,L100&lt;&gt;"Sí",L100&lt;&gt;"Adelanto",N(M100)&lt;=0),"Hecho sin liberar",IF(AND(ISBLANK(H100),L100&lt;&gt;"Adelanto",OR(I100&lt;&gt;"",L100="Sí")),"Falta pedido real",IF(AND(H100&lt;&gt;"",OR(NOT(ISNUMBER(H100)),H100&lt;0)),"Revisar pedido",IF(AND(ISNUMBER(H100),H100=0,N(M100)&gt;0,N(N100)&gt;0,N(I100)=0),"Reasignar sobrante",IF(AND(ISNUMBER(H100),H100=0,OR(N100&gt;0,I100&gt;0)),"Revisar pedido y cantidades",IF(AND(ISNUMBER(H100),H100=0),"Sin pedido",IF(AND(ISNUMBER(H100),ISBLANK(I100)),"Falta anotar stock",IF(AND(I100&lt;&gt;"",OR(NOT(ISNUMBER(I100)),I100&lt;0,AND(ISNUMBER(H100),I100&gt;H100))),"Revisar stock asignado",IF(AND(ISNUMBER(I100),I100&gt;0,NOT(ISNUMBER(K100))),"Falta vencimiento de stock",IF(AND(ISNUMBER(I100),I100&gt;0,K100&lt;E100+criterio!$B$4),"El stock no cubre el uso",IF(AND(ISNUMBER(H100),ISNUMBER(I100),H100=I100,OR(N100="",N100=0)),"Cubierto con stock",IF(B100=criterio!$B$25,"Jornada bloqueada",IF(B100+S100&gt;C100,"No llega al retiro",IF(Q100&lt;E100,"Vence antes del último uso",IF(Q100&lt;E100+criterio!$B$4,"Falta margen de vida útil",IF(AND(ISBLANK(H100),L100&lt;&gt;"Adelanto",N(N100)&gt;0,N(M100)&gt;0),"Adelanto en pausa",IF(NOT(ISNUMBER(AM100)),"Previsión",IF(AND(ISNUMBER(H100),N(M100)&gt;0,N(N100)&gt;ROUND(H100-N(I100),3)),"Reasignar sobrante",IF(AND(ISNUMBER(N100),N100&gt;ROUND(AM100-N(I100),3)),"Revisar excedente",IF(AND(ISNUMBER(H100),L100&lt;&gt;"Sí",NOT(AND(N(M100)&gt;0,J100=0))),"Por confirmar",IF(J100=0,"Hecho",IF(AND(ISNUMBER(N100),N100&gt;0),"Completar","Preparar")))))))))))))))))))))))))))))))</f>
        <v/>
      </c>
      <c r="AC100">
        <f t="shared" si="28"/>
        <v>0</v>
      </c>
      <c r="AD100">
        <f>IF(OR(NOT(ISNUMBER(B100)),A100="",NOT(ISNUMBER(Z100)),Z100&lt;=0),0,IF(COUNTIFS($A$9:A100,A100,$B$9:B100,B100,$Z$9:Z100,"&gt;0")=1,1,0))</f>
        <v>0</v>
      </c>
      <c r="AE100">
        <f t="shared" si="29"/>
        <v>0</v>
      </c>
      <c r="AF100">
        <f t="shared" si="30"/>
        <v>0</v>
      </c>
      <c r="AG100" t="str">
        <f>IF(OR(AF100=0,AK100&lt;=0),"",IF(A100="Tsue","Retiro: ","Tanda: ")&amp;ROUND(AE100,3)&amp;" "&amp;F100&amp;". Acordar "&amp;INT(AE100/AK100)&amp;" o "&amp;ROUNDUP(AE100/AK100,0)&amp;IF(A100="Tsue"," envases de 5 L."," porciones de 500 g."))</f>
        <v/>
      </c>
      <c r="AH100">
        <f>IF(COUNTA(A100:E100,H100:I100,K100:L100,N100)=0,0,IF(OR(NOT(ISNUMBER(B100)),B100&lt;'Por semana'!$C$45,B100&gt;'Por semana'!$J$46+6),1,0))</f>
        <v>0</v>
      </c>
      <c r="AI100">
        <f t="shared" si="32"/>
        <v>0</v>
      </c>
      <c r="AJ100">
        <f t="shared" si="33"/>
        <v>0</v>
      </c>
      <c r="AK100">
        <f>IF(R100=0,0,IFERROR(INDEX(criterio!$J$11:$J$22,R100)+0,0))</f>
        <v>0</v>
      </c>
      <c r="AL100" t="str">
        <f t="shared" si="34"/>
        <v/>
      </c>
      <c r="AM100" t="str">
        <f t="shared" si="35"/>
        <v/>
      </c>
    </row>
    <row r="101" spans="1:39" ht="31" customHeight="1">
      <c r="A101" s="11"/>
      <c r="B101" s="19"/>
      <c r="C101" s="19"/>
      <c r="D101" s="19"/>
      <c r="E101" s="19"/>
      <c r="F101" s="10" t="str">
        <f>IF(R101=0,"",INDEX(criterio!$B$11:$B$22,R101))</f>
        <v/>
      </c>
      <c r="G101" s="4" t="str">
        <f>IFERROR(IF(INDEX(criterio!$B$31:$B$111,MATCH(W101,criterio!$A$31:$A$111,0))=A101,INDEX(criterio!$C$31:$C$111,MATCH(W101,criterio!$A$31:$A$111,0)),""),"")</f>
        <v/>
      </c>
      <c r="H101" s="5"/>
      <c r="I101" s="5"/>
      <c r="J101" s="29" t="str">
        <f t="shared" si="24"/>
        <v/>
      </c>
      <c r="K101" s="20"/>
      <c r="L101" s="21"/>
      <c r="M101" s="5"/>
      <c r="N101" s="5"/>
      <c r="O101" s="6" t="str">
        <f t="shared" si="25"/>
        <v/>
      </c>
      <c r="P101" s="10" t="str">
        <f>IFERROR(IF(AND(INDEX(criterio!$I$31:$I$111,MATCH(W101,criterio!$A$31:$A$111,0))=1,INDEX(criterio!$B$31:$B$111,MATCH(W101,criterio!$A$31:$A$111,0))=A101,ISNUMBER(B101),B101&gt;=criterio!$B$5,D101&lt;=criterio!$B$6,E101&gt;=criterio!$B$5),"Fuera de la previa del 20/12",""),"")</f>
        <v/>
      </c>
      <c r="Q101" s="22" t="str">
        <f t="shared" si="26"/>
        <v/>
      </c>
      <c r="R101">
        <f>IFERROR(MATCH(A101,criterio!$A$11:$A$22,0),0)</f>
        <v>0</v>
      </c>
      <c r="S101" t="str">
        <f>IF(R101=0,"",INDEX(criterio!$E$11:$E$22,R101))</f>
        <v/>
      </c>
      <c r="T101" t="str">
        <f>IF(R101=0,"",INDEX(criterio!$C$11:$C$22,R101))</f>
        <v/>
      </c>
      <c r="U101" t="str">
        <f>IF(R101=0,"",INDEX(criterio!$D$11:$D$22,R101))</f>
        <v/>
      </c>
      <c r="V101">
        <f>IF(AND(ISNUMBER(B101),B101=Turno!$B$3,OR(AL101="Preparar",AL101="Completar")),MAX($V$8:V100)+1,0)</f>
        <v>0</v>
      </c>
      <c r="Y101" t="str">
        <f>IF(R101=0,"",INDEX(criterio!$I$11:$I$22,R101))</f>
        <v/>
      </c>
      <c r="Z101" t="str">
        <f t="shared" si="27"/>
        <v/>
      </c>
      <c r="AA101" t="str">
        <f>IF(OR(A101="",COUNT(B101:C101)&lt;&gt;2),"",IF(OR(WEEKDAY(B101,2)&gt;5,COUNTIF(criterio!$B$25:$E$25,B101)&gt;0),"Cambiar día de elaboración",IF(OR(WEEKDAY(C101,2)&gt;5,COUNTIF(criterio!$B$25:$E$25,C101)&gt;0),"Cambiar día de retiro",IF(SUMIF($B$9:$B$128,B101,$AD$9:$AD$128)&gt;criterio!$D$26,"Más de dos recetas",IF(OR(A101="",NOT(ISNUMBER(B101))),"",IF(OR(NOT(ISNUMBER($Q$2)),NOT(ISNUMBER($Q$3)),$Q$2&lt;=0,$Q$3&lt;=0),"Revisar topes de carga",IF(SUMIFS($Z$9:$Z$128,$B$9:$B$128,B101,$F$9:$F$128,"kg")/$Q$2+SUMIFS($Z$9:$Z$128,$B$9:$B$128,B101,$F$9:$F$128,"L")/$Q$3&gt;1.000001,"Repartir carga del día","")))))))</f>
        <v/>
      </c>
      <c r="AB101" t="str">
        <f>IF(COUNTA(A101:E101,H101:I101,K101:N101)=0,"",IF(R101=0,"Elegir producto",IF(COUNT(B101:E101)&lt;&gt;4,"Completar fechas",IF(E101&lt;D101,"Revisar días de uso",IF(C101+criterio!$B$3&gt;D101,"El retiro llega tarde",IF(AND(N101&lt;&gt;"",OR(NOT(ISNUMBER(N101)),N101&lt;0)),"Revisar cantidad hecha",IF(AND(M101&lt;&gt;"",OR(NOT(ISNUMBER(M101)),M101&lt;0)),"Revisar cant. a adelantar",IF(AND(AND(ISBLANK(H101),L101="Adelanto"),NOT(ISNUMBER(AM101))),"Cargar cant. a adelantar",IF(AND(AND(ISBLANK(H101),L101="Adelanto"),I101&lt;&gt;"",OR(NOT(ISNUMBER(I101)),I101&lt;&gt;0)),"Revisar stock del adelanto",IF(AND(ISNUMBER(N101),N101&gt;0,L101&lt;&gt;"Sí",L101&lt;&gt;"Adelanto",N(M101)&lt;=0),"Hecho sin liberar",IF(AND(ISBLANK(H101),L101&lt;&gt;"Adelanto",OR(I101&lt;&gt;"",L101="Sí")),"Falta pedido real",IF(AND(H101&lt;&gt;"",OR(NOT(ISNUMBER(H101)),H101&lt;0)),"Revisar pedido",IF(AND(ISNUMBER(H101),H101=0,N(M101)&gt;0,N(N101)&gt;0,N(I101)=0),"Reasignar sobrante",IF(AND(ISNUMBER(H101),H101=0,OR(N101&gt;0,I101&gt;0)),"Revisar pedido y cantidades",IF(AND(ISNUMBER(H101),H101=0),"Sin pedido",IF(AND(ISNUMBER(H101),ISBLANK(I101)),"Falta anotar stock",IF(AND(I101&lt;&gt;"",OR(NOT(ISNUMBER(I101)),I101&lt;0,AND(ISNUMBER(H101),I101&gt;H101))),"Revisar stock asignado",IF(AND(ISNUMBER(I101),I101&gt;0,NOT(ISNUMBER(K101))),"Falta vencimiento de stock",IF(AND(ISNUMBER(I101),I101&gt;0,K101&lt;E101+criterio!$B$4),"El stock no cubre el uso",IF(AND(ISNUMBER(H101),ISNUMBER(I101),H101=I101,OR(N101="",N101=0)),"Cubierto con stock",IF(B101=criterio!$B$25,"Jornada bloqueada",IF(B101+S101&gt;C101,"No llega al retiro",IF(Q101&lt;E101,"Vence antes del último uso",IF(Q101&lt;E101+criterio!$B$4,"Falta margen de vida útil",IF(AND(ISBLANK(H101),L101&lt;&gt;"Adelanto",N(N101)&gt;0,N(M101)&gt;0),"Adelanto en pausa",IF(NOT(ISNUMBER(AM101)),"Previsión",IF(AND(ISNUMBER(H101),N(M101)&gt;0,N(N101)&gt;ROUND(H101-N(I101),3)),"Reasignar sobrante",IF(AND(ISNUMBER(N101),N101&gt;ROUND(AM101-N(I101),3)),"Revisar excedente",IF(AND(ISNUMBER(H101),L101&lt;&gt;"Sí",NOT(AND(N(M101)&gt;0,J101=0))),"Por confirmar",IF(J101=0,"Hecho",IF(AND(ISNUMBER(N101),N101&gt;0),"Completar","Preparar")))))))))))))))))))))))))))))))</f>
        <v/>
      </c>
      <c r="AC101">
        <f t="shared" si="28"/>
        <v>0</v>
      </c>
      <c r="AD101">
        <f>IF(OR(NOT(ISNUMBER(B101)),A101="",NOT(ISNUMBER(Z101)),Z101&lt;=0),0,IF(COUNTIFS($A$9:A101,A101,$B$9:B101,B101,$Z$9:Z101,"&gt;0")=1,1,0))</f>
        <v>0</v>
      </c>
      <c r="AE101">
        <f t="shared" si="29"/>
        <v>0</v>
      </c>
      <c r="AF101">
        <f t="shared" si="30"/>
        <v>0</v>
      </c>
      <c r="AG101" t="str">
        <f>IF(OR(AF101=0,AK101&lt;=0),"",IF(A101="Tsue","Retiro: ","Tanda: ")&amp;ROUND(AE101,3)&amp;" "&amp;F101&amp;". Acordar "&amp;INT(AE101/AK101)&amp;" o "&amp;ROUNDUP(AE101/AK101,0)&amp;IF(A101="Tsue"," envases de 5 L."," porciones de 500 g."))</f>
        <v/>
      </c>
      <c r="AH101">
        <f>IF(COUNTA(A101:E101,H101:I101,K101:L101,N101)=0,0,IF(OR(NOT(ISNUMBER(B101)),B101&lt;'Por semana'!$C$45,B101&gt;'Por semana'!$J$46+6),1,0))</f>
        <v>0</v>
      </c>
      <c r="AI101">
        <f t="shared" si="32"/>
        <v>0</v>
      </c>
      <c r="AJ101">
        <f t="shared" si="33"/>
        <v>0</v>
      </c>
      <c r="AK101">
        <f>IF(R101=0,0,IFERROR(INDEX(criterio!$J$11:$J$22,R101)+0,0))</f>
        <v>0</v>
      </c>
      <c r="AL101" t="str">
        <f t="shared" si="34"/>
        <v/>
      </c>
      <c r="AM101" t="str">
        <f t="shared" si="35"/>
        <v/>
      </c>
    </row>
    <row r="102" spans="1:39" ht="31" customHeight="1">
      <c r="A102" s="11"/>
      <c r="B102" s="19"/>
      <c r="C102" s="19"/>
      <c r="D102" s="19"/>
      <c r="E102" s="19"/>
      <c r="F102" s="10" t="str">
        <f>IF(R102=0,"",INDEX(criterio!$B$11:$B$22,R102))</f>
        <v/>
      </c>
      <c r="G102" s="4" t="str">
        <f>IFERROR(IF(INDEX(criterio!$B$31:$B$111,MATCH(W102,criterio!$A$31:$A$111,0))=A102,INDEX(criterio!$C$31:$C$111,MATCH(W102,criterio!$A$31:$A$111,0)),""),"")</f>
        <v/>
      </c>
      <c r="H102" s="5"/>
      <c r="I102" s="5"/>
      <c r="J102" s="29" t="str">
        <f t="shared" si="24"/>
        <v/>
      </c>
      <c r="K102" s="20"/>
      <c r="L102" s="21"/>
      <c r="M102" s="5"/>
      <c r="N102" s="5"/>
      <c r="O102" s="6" t="str">
        <f t="shared" si="25"/>
        <v/>
      </c>
      <c r="P102" s="10" t="str">
        <f>IFERROR(IF(AND(INDEX(criterio!$I$31:$I$111,MATCH(W102,criterio!$A$31:$A$111,0))=1,INDEX(criterio!$B$31:$B$111,MATCH(W102,criterio!$A$31:$A$111,0))=A102,ISNUMBER(B102),B102&gt;=criterio!$B$5,D102&lt;=criterio!$B$6,E102&gt;=criterio!$B$5),"Fuera de la previa del 20/12",""),"")</f>
        <v/>
      </c>
      <c r="Q102" s="22" t="str">
        <f t="shared" si="26"/>
        <v/>
      </c>
      <c r="R102">
        <f>IFERROR(MATCH(A102,criterio!$A$11:$A$22,0),0)</f>
        <v>0</v>
      </c>
      <c r="S102" t="str">
        <f>IF(R102=0,"",INDEX(criterio!$E$11:$E$22,R102))</f>
        <v/>
      </c>
      <c r="T102" t="str">
        <f>IF(R102=0,"",INDEX(criterio!$C$11:$C$22,R102))</f>
        <v/>
      </c>
      <c r="U102" t="str">
        <f>IF(R102=0,"",INDEX(criterio!$D$11:$D$22,R102))</f>
        <v/>
      </c>
      <c r="V102">
        <f>IF(AND(ISNUMBER(B102),B102=Turno!$B$3,OR(AL102="Preparar",AL102="Completar")),MAX($V$8:V101)+1,0)</f>
        <v>0</v>
      </c>
      <c r="Y102" t="str">
        <f>IF(R102=0,"",INDEX(criterio!$I$11:$I$22,R102))</f>
        <v/>
      </c>
      <c r="Z102" t="str">
        <f t="shared" si="27"/>
        <v/>
      </c>
      <c r="AA102" t="str">
        <f>IF(OR(A102="",COUNT(B102:C102)&lt;&gt;2),"",IF(OR(WEEKDAY(B102,2)&gt;5,COUNTIF(criterio!$B$25:$E$25,B102)&gt;0),"Cambiar día de elaboración",IF(OR(WEEKDAY(C102,2)&gt;5,COUNTIF(criterio!$B$25:$E$25,C102)&gt;0),"Cambiar día de retiro",IF(SUMIF($B$9:$B$128,B102,$AD$9:$AD$128)&gt;criterio!$D$26,"Más de dos recetas",IF(OR(A102="",NOT(ISNUMBER(B102))),"",IF(OR(NOT(ISNUMBER($Q$2)),NOT(ISNUMBER($Q$3)),$Q$2&lt;=0,$Q$3&lt;=0),"Revisar topes de carga",IF(SUMIFS($Z$9:$Z$128,$B$9:$B$128,B102,$F$9:$F$128,"kg")/$Q$2+SUMIFS($Z$9:$Z$128,$B$9:$B$128,B102,$F$9:$F$128,"L")/$Q$3&gt;1.000001,"Repartir carga del día","")))))))</f>
        <v/>
      </c>
      <c r="AB102" t="str">
        <f>IF(COUNTA(A102:E102,H102:I102,K102:N102)=0,"",IF(R102=0,"Elegir producto",IF(COUNT(B102:E102)&lt;&gt;4,"Completar fechas",IF(E102&lt;D102,"Revisar días de uso",IF(C102+criterio!$B$3&gt;D102,"El retiro llega tarde",IF(AND(N102&lt;&gt;"",OR(NOT(ISNUMBER(N102)),N102&lt;0)),"Revisar cantidad hecha",IF(AND(M102&lt;&gt;"",OR(NOT(ISNUMBER(M102)),M102&lt;0)),"Revisar cant. a adelantar",IF(AND(AND(ISBLANK(H102),L102="Adelanto"),NOT(ISNUMBER(AM102))),"Cargar cant. a adelantar",IF(AND(AND(ISBLANK(H102),L102="Adelanto"),I102&lt;&gt;"",OR(NOT(ISNUMBER(I102)),I102&lt;&gt;0)),"Revisar stock del adelanto",IF(AND(ISNUMBER(N102),N102&gt;0,L102&lt;&gt;"Sí",L102&lt;&gt;"Adelanto",N(M102)&lt;=0),"Hecho sin liberar",IF(AND(ISBLANK(H102),L102&lt;&gt;"Adelanto",OR(I102&lt;&gt;"",L102="Sí")),"Falta pedido real",IF(AND(H102&lt;&gt;"",OR(NOT(ISNUMBER(H102)),H102&lt;0)),"Revisar pedido",IF(AND(ISNUMBER(H102),H102=0,N(M102)&gt;0,N(N102)&gt;0,N(I102)=0),"Reasignar sobrante",IF(AND(ISNUMBER(H102),H102=0,OR(N102&gt;0,I102&gt;0)),"Revisar pedido y cantidades",IF(AND(ISNUMBER(H102),H102=0),"Sin pedido",IF(AND(ISNUMBER(H102),ISBLANK(I102)),"Falta anotar stock",IF(AND(I102&lt;&gt;"",OR(NOT(ISNUMBER(I102)),I102&lt;0,AND(ISNUMBER(H102),I102&gt;H102))),"Revisar stock asignado",IF(AND(ISNUMBER(I102),I102&gt;0,NOT(ISNUMBER(K102))),"Falta vencimiento de stock",IF(AND(ISNUMBER(I102),I102&gt;0,K102&lt;E102+criterio!$B$4),"El stock no cubre el uso",IF(AND(ISNUMBER(H102),ISNUMBER(I102),H102=I102,OR(N102="",N102=0)),"Cubierto con stock",IF(B102=criterio!$B$25,"Jornada bloqueada",IF(B102+S102&gt;C102,"No llega al retiro",IF(Q102&lt;E102,"Vence antes del último uso",IF(Q102&lt;E102+criterio!$B$4,"Falta margen de vida útil",IF(AND(ISBLANK(H102),L102&lt;&gt;"Adelanto",N(N102)&gt;0,N(M102)&gt;0),"Adelanto en pausa",IF(NOT(ISNUMBER(AM102)),"Previsión",IF(AND(ISNUMBER(H102),N(M102)&gt;0,N(N102)&gt;ROUND(H102-N(I102),3)),"Reasignar sobrante",IF(AND(ISNUMBER(N102),N102&gt;ROUND(AM102-N(I102),3)),"Revisar excedente",IF(AND(ISNUMBER(H102),L102&lt;&gt;"Sí",NOT(AND(N(M102)&gt;0,J102=0))),"Por confirmar",IF(J102=0,"Hecho",IF(AND(ISNUMBER(N102),N102&gt;0),"Completar","Preparar")))))))))))))))))))))))))))))))</f>
        <v/>
      </c>
      <c r="AC102">
        <f t="shared" si="28"/>
        <v>0</v>
      </c>
      <c r="AD102">
        <f>IF(OR(NOT(ISNUMBER(B102)),A102="",NOT(ISNUMBER(Z102)),Z102&lt;=0),0,IF(COUNTIFS($A$9:A102,A102,$B$9:B102,B102,$Z$9:Z102,"&gt;0")=1,1,0))</f>
        <v>0</v>
      </c>
      <c r="AE102">
        <f t="shared" si="29"/>
        <v>0</v>
      </c>
      <c r="AF102">
        <f t="shared" si="30"/>
        <v>0</v>
      </c>
      <c r="AG102" t="str">
        <f>IF(OR(AF102=0,AK102&lt;=0),"",IF(A102="Tsue","Retiro: ","Tanda: ")&amp;ROUND(AE102,3)&amp;" "&amp;F102&amp;". Acordar "&amp;INT(AE102/AK102)&amp;" o "&amp;ROUNDUP(AE102/AK102,0)&amp;IF(A102="Tsue"," envases de 5 L."," porciones de 500 g."))</f>
        <v/>
      </c>
      <c r="AH102">
        <f>IF(COUNTA(A102:E102,H102:I102,K102:L102,N102)=0,0,IF(OR(NOT(ISNUMBER(B102)),B102&lt;'Por semana'!$C$45,B102&gt;'Por semana'!$J$46+6),1,0))</f>
        <v>0</v>
      </c>
      <c r="AI102">
        <f t="shared" si="32"/>
        <v>0</v>
      </c>
      <c r="AJ102">
        <f t="shared" si="33"/>
        <v>0</v>
      </c>
      <c r="AK102">
        <f>IF(R102=0,0,IFERROR(INDEX(criterio!$J$11:$J$22,R102)+0,0))</f>
        <v>0</v>
      </c>
      <c r="AL102" t="str">
        <f t="shared" si="34"/>
        <v/>
      </c>
      <c r="AM102" t="str">
        <f t="shared" si="35"/>
        <v/>
      </c>
    </row>
    <row r="103" spans="1:39" ht="31" customHeight="1">
      <c r="A103" s="11"/>
      <c r="B103" s="19"/>
      <c r="C103" s="19"/>
      <c r="D103" s="19"/>
      <c r="E103" s="19"/>
      <c r="F103" s="10" t="str">
        <f>IF(R103=0,"",INDEX(criterio!$B$11:$B$22,R103))</f>
        <v/>
      </c>
      <c r="G103" s="4" t="str">
        <f>IFERROR(IF(INDEX(criterio!$B$31:$B$111,MATCH(W103,criterio!$A$31:$A$111,0))=A103,INDEX(criterio!$C$31:$C$111,MATCH(W103,criterio!$A$31:$A$111,0)),""),"")</f>
        <v/>
      </c>
      <c r="H103" s="5"/>
      <c r="I103" s="5"/>
      <c r="J103" s="29" t="str">
        <f t="shared" si="24"/>
        <v/>
      </c>
      <c r="K103" s="20"/>
      <c r="L103" s="21"/>
      <c r="M103" s="5"/>
      <c r="N103" s="5"/>
      <c r="O103" s="6" t="str">
        <f t="shared" si="25"/>
        <v/>
      </c>
      <c r="P103" s="10" t="str">
        <f>IFERROR(IF(AND(INDEX(criterio!$I$31:$I$111,MATCH(W103,criterio!$A$31:$A$111,0))=1,INDEX(criterio!$B$31:$B$111,MATCH(W103,criterio!$A$31:$A$111,0))=A103,ISNUMBER(B103),B103&gt;=criterio!$B$5,D103&lt;=criterio!$B$6,E103&gt;=criterio!$B$5),"Fuera de la previa del 20/12",""),"")</f>
        <v/>
      </c>
      <c r="Q103" s="22" t="str">
        <f t="shared" si="26"/>
        <v/>
      </c>
      <c r="R103">
        <f>IFERROR(MATCH(A103,criterio!$A$11:$A$22,0),0)</f>
        <v>0</v>
      </c>
      <c r="S103" t="str">
        <f>IF(R103=0,"",INDEX(criterio!$E$11:$E$22,R103))</f>
        <v/>
      </c>
      <c r="T103" t="str">
        <f>IF(R103=0,"",INDEX(criterio!$C$11:$C$22,R103))</f>
        <v/>
      </c>
      <c r="U103" t="str">
        <f>IF(R103=0,"",INDEX(criterio!$D$11:$D$22,R103))</f>
        <v/>
      </c>
      <c r="V103">
        <f>IF(AND(ISNUMBER(B103),B103=Turno!$B$3,OR(AL103="Preparar",AL103="Completar")),MAX($V$8:V102)+1,0)</f>
        <v>0</v>
      </c>
      <c r="Y103" t="str">
        <f>IF(R103=0,"",INDEX(criterio!$I$11:$I$22,R103))</f>
        <v/>
      </c>
      <c r="Z103" t="str">
        <f t="shared" si="27"/>
        <v/>
      </c>
      <c r="AA103" t="str">
        <f>IF(OR(A103="",COUNT(B103:C103)&lt;&gt;2),"",IF(OR(WEEKDAY(B103,2)&gt;5,COUNTIF(criterio!$B$25:$E$25,B103)&gt;0),"Cambiar día de elaboración",IF(OR(WEEKDAY(C103,2)&gt;5,COUNTIF(criterio!$B$25:$E$25,C103)&gt;0),"Cambiar día de retiro",IF(SUMIF($B$9:$B$128,B103,$AD$9:$AD$128)&gt;criterio!$D$26,"Más de dos recetas",IF(OR(A103="",NOT(ISNUMBER(B103))),"",IF(OR(NOT(ISNUMBER($Q$2)),NOT(ISNUMBER($Q$3)),$Q$2&lt;=0,$Q$3&lt;=0),"Revisar topes de carga",IF(SUMIFS($Z$9:$Z$128,$B$9:$B$128,B103,$F$9:$F$128,"kg")/$Q$2+SUMIFS($Z$9:$Z$128,$B$9:$B$128,B103,$F$9:$F$128,"L")/$Q$3&gt;1.000001,"Repartir carga del día","")))))))</f>
        <v/>
      </c>
      <c r="AB103" t="str">
        <f>IF(COUNTA(A103:E103,H103:I103,K103:N103)=0,"",IF(R103=0,"Elegir producto",IF(COUNT(B103:E103)&lt;&gt;4,"Completar fechas",IF(E103&lt;D103,"Revisar días de uso",IF(C103+criterio!$B$3&gt;D103,"El retiro llega tarde",IF(AND(N103&lt;&gt;"",OR(NOT(ISNUMBER(N103)),N103&lt;0)),"Revisar cantidad hecha",IF(AND(M103&lt;&gt;"",OR(NOT(ISNUMBER(M103)),M103&lt;0)),"Revisar cant. a adelantar",IF(AND(AND(ISBLANK(H103),L103="Adelanto"),NOT(ISNUMBER(AM103))),"Cargar cant. a adelantar",IF(AND(AND(ISBLANK(H103),L103="Adelanto"),I103&lt;&gt;"",OR(NOT(ISNUMBER(I103)),I103&lt;&gt;0)),"Revisar stock del adelanto",IF(AND(ISNUMBER(N103),N103&gt;0,L103&lt;&gt;"Sí",L103&lt;&gt;"Adelanto",N(M103)&lt;=0),"Hecho sin liberar",IF(AND(ISBLANK(H103),L103&lt;&gt;"Adelanto",OR(I103&lt;&gt;"",L103="Sí")),"Falta pedido real",IF(AND(H103&lt;&gt;"",OR(NOT(ISNUMBER(H103)),H103&lt;0)),"Revisar pedido",IF(AND(ISNUMBER(H103),H103=0,N(M103)&gt;0,N(N103)&gt;0,N(I103)=0),"Reasignar sobrante",IF(AND(ISNUMBER(H103),H103=0,OR(N103&gt;0,I103&gt;0)),"Revisar pedido y cantidades",IF(AND(ISNUMBER(H103),H103=0),"Sin pedido",IF(AND(ISNUMBER(H103),ISBLANK(I103)),"Falta anotar stock",IF(AND(I103&lt;&gt;"",OR(NOT(ISNUMBER(I103)),I103&lt;0,AND(ISNUMBER(H103),I103&gt;H103))),"Revisar stock asignado",IF(AND(ISNUMBER(I103),I103&gt;0,NOT(ISNUMBER(K103))),"Falta vencimiento de stock",IF(AND(ISNUMBER(I103),I103&gt;0,K103&lt;E103+criterio!$B$4),"El stock no cubre el uso",IF(AND(ISNUMBER(H103),ISNUMBER(I103),H103=I103,OR(N103="",N103=0)),"Cubierto con stock",IF(B103=criterio!$B$25,"Jornada bloqueada",IF(B103+S103&gt;C103,"No llega al retiro",IF(Q103&lt;E103,"Vence antes del último uso",IF(Q103&lt;E103+criterio!$B$4,"Falta margen de vida útil",IF(AND(ISBLANK(H103),L103&lt;&gt;"Adelanto",N(N103)&gt;0,N(M103)&gt;0),"Adelanto en pausa",IF(NOT(ISNUMBER(AM103)),"Previsión",IF(AND(ISNUMBER(H103),N(M103)&gt;0,N(N103)&gt;ROUND(H103-N(I103),3)),"Reasignar sobrante",IF(AND(ISNUMBER(N103),N103&gt;ROUND(AM103-N(I103),3)),"Revisar excedente",IF(AND(ISNUMBER(H103),L103&lt;&gt;"Sí",NOT(AND(N(M103)&gt;0,J103=0))),"Por confirmar",IF(J103=0,"Hecho",IF(AND(ISNUMBER(N103),N103&gt;0),"Completar","Preparar")))))))))))))))))))))))))))))))</f>
        <v/>
      </c>
      <c r="AC103">
        <f t="shared" si="28"/>
        <v>0</v>
      </c>
      <c r="AD103">
        <f>IF(OR(NOT(ISNUMBER(B103)),A103="",NOT(ISNUMBER(Z103)),Z103&lt;=0),0,IF(COUNTIFS($A$9:A103,A103,$B$9:B103,B103,$Z$9:Z103,"&gt;0")=1,1,0))</f>
        <v>0</v>
      </c>
      <c r="AE103">
        <f t="shared" si="29"/>
        <v>0</v>
      </c>
      <c r="AF103">
        <f t="shared" si="30"/>
        <v>0</v>
      </c>
      <c r="AG103" t="str">
        <f>IF(OR(AF103=0,AK103&lt;=0),"",IF(A103="Tsue","Retiro: ","Tanda: ")&amp;ROUND(AE103,3)&amp;" "&amp;F103&amp;". Acordar "&amp;INT(AE103/AK103)&amp;" o "&amp;ROUNDUP(AE103/AK103,0)&amp;IF(A103="Tsue"," envases de 5 L."," porciones de 500 g."))</f>
        <v/>
      </c>
      <c r="AH103">
        <f>IF(COUNTA(A103:E103,H103:I103,K103:L103,N103)=0,0,IF(OR(NOT(ISNUMBER(B103)),B103&lt;'Por semana'!$C$45,B103&gt;'Por semana'!$J$46+6),1,0))</f>
        <v>0</v>
      </c>
      <c r="AI103">
        <f t="shared" si="32"/>
        <v>0</v>
      </c>
      <c r="AJ103">
        <f t="shared" si="33"/>
        <v>0</v>
      </c>
      <c r="AK103">
        <f>IF(R103=0,0,IFERROR(INDEX(criterio!$J$11:$J$22,R103)+0,0))</f>
        <v>0</v>
      </c>
      <c r="AL103" t="str">
        <f t="shared" si="34"/>
        <v/>
      </c>
      <c r="AM103" t="str">
        <f t="shared" si="35"/>
        <v/>
      </c>
    </row>
    <row r="104" spans="1:39" ht="31" customHeight="1">
      <c r="A104" s="11"/>
      <c r="B104" s="19"/>
      <c r="C104" s="19"/>
      <c r="D104" s="19"/>
      <c r="E104" s="19"/>
      <c r="F104" s="10" t="str">
        <f>IF(R104=0,"",INDEX(criterio!$B$11:$B$22,R104))</f>
        <v/>
      </c>
      <c r="G104" s="4" t="str">
        <f>IFERROR(IF(INDEX(criterio!$B$31:$B$111,MATCH(W104,criterio!$A$31:$A$111,0))=A104,INDEX(criterio!$C$31:$C$111,MATCH(W104,criterio!$A$31:$A$111,0)),""),"")</f>
        <v/>
      </c>
      <c r="H104" s="5"/>
      <c r="I104" s="5"/>
      <c r="J104" s="29" t="str">
        <f t="shared" si="24"/>
        <v/>
      </c>
      <c r="K104" s="20"/>
      <c r="L104" s="21"/>
      <c r="M104" s="5"/>
      <c r="N104" s="5"/>
      <c r="O104" s="6" t="str">
        <f t="shared" si="25"/>
        <v/>
      </c>
      <c r="P104" s="10" t="str">
        <f>IFERROR(IF(AND(INDEX(criterio!$I$31:$I$111,MATCH(W104,criterio!$A$31:$A$111,0))=1,INDEX(criterio!$B$31:$B$111,MATCH(W104,criterio!$A$31:$A$111,0))=A104,ISNUMBER(B104),B104&gt;=criterio!$B$5,D104&lt;=criterio!$B$6,E104&gt;=criterio!$B$5),"Fuera de la previa del 20/12",""),"")</f>
        <v/>
      </c>
      <c r="Q104" s="22" t="str">
        <f t="shared" si="26"/>
        <v/>
      </c>
      <c r="R104">
        <f>IFERROR(MATCH(A104,criterio!$A$11:$A$22,0),0)</f>
        <v>0</v>
      </c>
      <c r="S104" t="str">
        <f>IF(R104=0,"",INDEX(criterio!$E$11:$E$22,R104))</f>
        <v/>
      </c>
      <c r="T104" t="str">
        <f>IF(R104=0,"",INDEX(criterio!$C$11:$C$22,R104))</f>
        <v/>
      </c>
      <c r="U104" t="str">
        <f>IF(R104=0,"",INDEX(criterio!$D$11:$D$22,R104))</f>
        <v/>
      </c>
      <c r="V104">
        <f>IF(AND(ISNUMBER(B104),B104=Turno!$B$3,OR(AL104="Preparar",AL104="Completar")),MAX($V$8:V103)+1,0)</f>
        <v>0</v>
      </c>
      <c r="Y104" t="str">
        <f>IF(R104=0,"",INDEX(criterio!$I$11:$I$22,R104))</f>
        <v/>
      </c>
      <c r="Z104" t="str">
        <f t="shared" si="27"/>
        <v/>
      </c>
      <c r="AA104" t="str">
        <f>IF(OR(A104="",COUNT(B104:C104)&lt;&gt;2),"",IF(OR(WEEKDAY(B104,2)&gt;5,COUNTIF(criterio!$B$25:$E$25,B104)&gt;0),"Cambiar día de elaboración",IF(OR(WEEKDAY(C104,2)&gt;5,COUNTIF(criterio!$B$25:$E$25,C104)&gt;0),"Cambiar día de retiro",IF(SUMIF($B$9:$B$128,B104,$AD$9:$AD$128)&gt;criterio!$D$26,"Más de dos recetas",IF(OR(A104="",NOT(ISNUMBER(B104))),"",IF(OR(NOT(ISNUMBER($Q$2)),NOT(ISNUMBER($Q$3)),$Q$2&lt;=0,$Q$3&lt;=0),"Revisar topes de carga",IF(SUMIFS($Z$9:$Z$128,$B$9:$B$128,B104,$F$9:$F$128,"kg")/$Q$2+SUMIFS($Z$9:$Z$128,$B$9:$B$128,B104,$F$9:$F$128,"L")/$Q$3&gt;1.000001,"Repartir carga del día","")))))))</f>
        <v/>
      </c>
      <c r="AB104" t="str">
        <f>IF(COUNTA(A104:E104,H104:I104,K104:N104)=0,"",IF(R104=0,"Elegir producto",IF(COUNT(B104:E104)&lt;&gt;4,"Completar fechas",IF(E104&lt;D104,"Revisar días de uso",IF(C104+criterio!$B$3&gt;D104,"El retiro llega tarde",IF(AND(N104&lt;&gt;"",OR(NOT(ISNUMBER(N104)),N104&lt;0)),"Revisar cantidad hecha",IF(AND(M104&lt;&gt;"",OR(NOT(ISNUMBER(M104)),M104&lt;0)),"Revisar cant. a adelantar",IF(AND(AND(ISBLANK(H104),L104="Adelanto"),NOT(ISNUMBER(AM104))),"Cargar cant. a adelantar",IF(AND(AND(ISBLANK(H104),L104="Adelanto"),I104&lt;&gt;"",OR(NOT(ISNUMBER(I104)),I104&lt;&gt;0)),"Revisar stock del adelanto",IF(AND(ISNUMBER(N104),N104&gt;0,L104&lt;&gt;"Sí",L104&lt;&gt;"Adelanto",N(M104)&lt;=0),"Hecho sin liberar",IF(AND(ISBLANK(H104),L104&lt;&gt;"Adelanto",OR(I104&lt;&gt;"",L104="Sí")),"Falta pedido real",IF(AND(H104&lt;&gt;"",OR(NOT(ISNUMBER(H104)),H104&lt;0)),"Revisar pedido",IF(AND(ISNUMBER(H104),H104=0,N(M104)&gt;0,N(N104)&gt;0,N(I104)=0),"Reasignar sobrante",IF(AND(ISNUMBER(H104),H104=0,OR(N104&gt;0,I104&gt;0)),"Revisar pedido y cantidades",IF(AND(ISNUMBER(H104),H104=0),"Sin pedido",IF(AND(ISNUMBER(H104),ISBLANK(I104)),"Falta anotar stock",IF(AND(I104&lt;&gt;"",OR(NOT(ISNUMBER(I104)),I104&lt;0,AND(ISNUMBER(H104),I104&gt;H104))),"Revisar stock asignado",IF(AND(ISNUMBER(I104),I104&gt;0,NOT(ISNUMBER(K104))),"Falta vencimiento de stock",IF(AND(ISNUMBER(I104),I104&gt;0,K104&lt;E104+criterio!$B$4),"El stock no cubre el uso",IF(AND(ISNUMBER(H104),ISNUMBER(I104),H104=I104,OR(N104="",N104=0)),"Cubierto con stock",IF(B104=criterio!$B$25,"Jornada bloqueada",IF(B104+S104&gt;C104,"No llega al retiro",IF(Q104&lt;E104,"Vence antes del último uso",IF(Q104&lt;E104+criterio!$B$4,"Falta margen de vida útil",IF(AND(ISBLANK(H104),L104&lt;&gt;"Adelanto",N(N104)&gt;0,N(M104)&gt;0),"Adelanto en pausa",IF(NOT(ISNUMBER(AM104)),"Previsión",IF(AND(ISNUMBER(H104),N(M104)&gt;0,N(N104)&gt;ROUND(H104-N(I104),3)),"Reasignar sobrante",IF(AND(ISNUMBER(N104),N104&gt;ROUND(AM104-N(I104),3)),"Revisar excedente",IF(AND(ISNUMBER(H104),L104&lt;&gt;"Sí",NOT(AND(N(M104)&gt;0,J104=0))),"Por confirmar",IF(J104=0,"Hecho",IF(AND(ISNUMBER(N104),N104&gt;0),"Completar","Preparar")))))))))))))))))))))))))))))))</f>
        <v/>
      </c>
      <c r="AC104">
        <f t="shared" si="28"/>
        <v>0</v>
      </c>
      <c r="AD104">
        <f>IF(OR(NOT(ISNUMBER(B104)),A104="",NOT(ISNUMBER(Z104)),Z104&lt;=0),0,IF(COUNTIFS($A$9:A104,A104,$B$9:B104,B104,$Z$9:Z104,"&gt;0")=1,1,0))</f>
        <v>0</v>
      </c>
      <c r="AE104">
        <f t="shared" si="29"/>
        <v>0</v>
      </c>
      <c r="AF104">
        <f t="shared" si="30"/>
        <v>0</v>
      </c>
      <c r="AG104" t="str">
        <f>IF(OR(AF104=0,AK104&lt;=0),"",IF(A104="Tsue","Retiro: ","Tanda: ")&amp;ROUND(AE104,3)&amp;" "&amp;F104&amp;". Acordar "&amp;INT(AE104/AK104)&amp;" o "&amp;ROUNDUP(AE104/AK104,0)&amp;IF(A104="Tsue"," envases de 5 L."," porciones de 500 g."))</f>
        <v/>
      </c>
      <c r="AH104">
        <f>IF(COUNTA(A104:E104,H104:I104,K104:L104,N104)=0,0,IF(OR(NOT(ISNUMBER(B104)),B104&lt;'Por semana'!$C$45,B104&gt;'Por semana'!$J$46+6),1,0))</f>
        <v>0</v>
      </c>
      <c r="AI104">
        <f t="shared" si="32"/>
        <v>0</v>
      </c>
      <c r="AJ104">
        <f t="shared" si="33"/>
        <v>0</v>
      </c>
      <c r="AK104">
        <f>IF(R104=0,0,IFERROR(INDEX(criterio!$J$11:$J$22,R104)+0,0))</f>
        <v>0</v>
      </c>
      <c r="AL104" t="str">
        <f t="shared" si="34"/>
        <v/>
      </c>
      <c r="AM104" t="str">
        <f t="shared" si="35"/>
        <v/>
      </c>
    </row>
    <row r="105" spans="1:39" ht="31" customHeight="1">
      <c r="A105" s="11"/>
      <c r="B105" s="19"/>
      <c r="C105" s="19"/>
      <c r="D105" s="19"/>
      <c r="E105" s="19"/>
      <c r="F105" s="10" t="str">
        <f>IF(R105=0,"",INDEX(criterio!$B$11:$B$22,R105))</f>
        <v/>
      </c>
      <c r="G105" s="4" t="str">
        <f>IFERROR(IF(INDEX(criterio!$B$31:$B$111,MATCH(W105,criterio!$A$31:$A$111,0))=A105,INDEX(criterio!$C$31:$C$111,MATCH(W105,criterio!$A$31:$A$111,0)),""),"")</f>
        <v/>
      </c>
      <c r="H105" s="5"/>
      <c r="I105" s="5"/>
      <c r="J105" s="29" t="str">
        <f t="shared" ref="J105:J128" si="36">IF(AND(ISNUMBER(AM105),OR(ISBLANK(H105),ISNUMBER(I105))),MAX(0,ROUND(AM105-IF(ISBLANK(H105),0,N(I105))-N(N105),3)),"")</f>
        <v/>
      </c>
      <c r="K105" s="20"/>
      <c r="L105" s="21"/>
      <c r="M105" s="5"/>
      <c r="N105" s="5"/>
      <c r="O105" s="6" t="str">
        <f t="shared" ref="O105:O128" si="37">IF(AL105="Reasignar sobrante","Sobran "&amp;ROUND(N105-MAX(0,H105-N(I105)),3)&amp;" "&amp;F105&amp;" para stock",IF(AND(ISNUMBER(H105),L105="Adelanto",AL105="Por confirmar"),IF(J105&gt;0,IF(J105=1,"Falta ","Faltan ")&amp;ROUND(J105,3)&amp;" "&amp;F105&amp;". Elegí «Sí»"&amp;CHAR(10)&amp;"en «¿Mandar a preparar?».","No falta producir."),IF(AL105="Acordar envases",AL105&amp;" ("&amp;INT(AE105/AK105)&amp;" o "&amp;ROUNDUP(AE105/AK105,0)&amp;")",AL105)&amp;IF(P105="","",CHAR(10)&amp;"Adelanto movido al pico")))</f>
        <v/>
      </c>
      <c r="P105" s="10" t="str">
        <f>IFERROR(IF(AND(INDEX(criterio!$I$31:$I$111,MATCH(W105,criterio!$A$31:$A$111,0))=1,INDEX(criterio!$B$31:$B$111,MATCH(W105,criterio!$A$31:$A$111,0))=A105,ISNUMBER(B105),B105&gt;=criterio!$B$5,D105&lt;=criterio!$B$6,E105&gt;=criterio!$B$5),"Fuera de la previa del 20/12",""),"")</f>
        <v/>
      </c>
      <c r="Q105" s="22" t="str">
        <f t="shared" ref="Q105:Q128" si="38">IF(AND(R105&gt;0,ISNUMBER(B105)),IF(U105="mes",EDATE(B105,T105),B105+T105),"")</f>
        <v/>
      </c>
      <c r="R105">
        <f>IFERROR(MATCH(A105,criterio!$A$11:$A$22,0),0)</f>
        <v>0</v>
      </c>
      <c r="S105" t="str">
        <f>IF(R105=0,"",INDEX(criterio!$E$11:$E$22,R105))</f>
        <v/>
      </c>
      <c r="T105" t="str">
        <f>IF(R105=0,"",INDEX(criterio!$C$11:$C$22,R105))</f>
        <v/>
      </c>
      <c r="U105" t="str">
        <f>IF(R105=0,"",INDEX(criterio!$D$11:$D$22,R105))</f>
        <v/>
      </c>
      <c r="V105">
        <f>IF(AND(ISNUMBER(B105),B105=Turno!$B$3,OR(AL105="Preparar",AL105="Completar")),MAX($V$8:V104)+1,0)</f>
        <v>0</v>
      </c>
      <c r="Y105" t="str">
        <f>IF(R105=0,"",INDEX(criterio!$I$11:$I$22,R105))</f>
        <v/>
      </c>
      <c r="Z105" t="str">
        <f t="shared" ref="Z105:Z128" si="39">IF(AC105=1,0,IF(A105="","",IF(ISNUMBER(H105),MAX(IF(ISNUMBER(N105),N105,0),H105-IF(ISNUMBER(I105),I105,0),0),IF(ISNUMBER(AM105),MAX(AM105,N(N105)),IF(ISNUMBER(G105),MAX(G105,N(N105)),N(N105))))))</f>
        <v/>
      </c>
      <c r="AA105" t="str">
        <f>IF(OR(A105="",COUNT(B105:C105)&lt;&gt;2),"",IF(OR(WEEKDAY(B105,2)&gt;5,COUNTIF(criterio!$B$25:$E$25,B105)&gt;0),"Cambiar día de elaboración",IF(OR(WEEKDAY(C105,2)&gt;5,COUNTIF(criterio!$B$25:$E$25,C105)&gt;0),"Cambiar día de retiro",IF(SUMIF($B$9:$B$128,B105,$AD$9:$AD$128)&gt;criterio!$D$26,"Más de dos recetas",IF(OR(A105="",NOT(ISNUMBER(B105))),"",IF(OR(NOT(ISNUMBER($Q$2)),NOT(ISNUMBER($Q$3)),$Q$2&lt;=0,$Q$3&lt;=0),"Revisar topes de carga",IF(SUMIFS($Z$9:$Z$128,$B$9:$B$128,B105,$F$9:$F$128,"kg")/$Q$2+SUMIFS($Z$9:$Z$128,$B$9:$B$128,B105,$F$9:$F$128,"L")/$Q$3&gt;1.000001,"Repartir carga del día","")))))))</f>
        <v/>
      </c>
      <c r="AB105" t="str">
        <f>IF(COUNTA(A105:E105,H105:I105,K105:N105)=0,"",IF(R105=0,"Elegir producto",IF(COUNT(B105:E105)&lt;&gt;4,"Completar fechas",IF(E105&lt;D105,"Revisar días de uso",IF(C105+criterio!$B$3&gt;D105,"El retiro llega tarde",IF(AND(N105&lt;&gt;"",OR(NOT(ISNUMBER(N105)),N105&lt;0)),"Revisar cantidad hecha",IF(AND(M105&lt;&gt;"",OR(NOT(ISNUMBER(M105)),M105&lt;0)),"Revisar cant. a adelantar",IF(AND(AND(ISBLANK(H105),L105="Adelanto"),NOT(ISNUMBER(AM105))),"Cargar cant. a adelantar",IF(AND(AND(ISBLANK(H105),L105="Adelanto"),I105&lt;&gt;"",OR(NOT(ISNUMBER(I105)),I105&lt;&gt;0)),"Revisar stock del adelanto",IF(AND(ISNUMBER(N105),N105&gt;0,L105&lt;&gt;"Sí",L105&lt;&gt;"Adelanto",N(M105)&lt;=0),"Hecho sin liberar",IF(AND(ISBLANK(H105),L105&lt;&gt;"Adelanto",OR(I105&lt;&gt;"",L105="Sí")),"Falta pedido real",IF(AND(H105&lt;&gt;"",OR(NOT(ISNUMBER(H105)),H105&lt;0)),"Revisar pedido",IF(AND(ISNUMBER(H105),H105=0,N(M105)&gt;0,N(N105)&gt;0,N(I105)=0),"Reasignar sobrante",IF(AND(ISNUMBER(H105),H105=0,OR(N105&gt;0,I105&gt;0)),"Revisar pedido y cantidades",IF(AND(ISNUMBER(H105),H105=0),"Sin pedido",IF(AND(ISNUMBER(H105),ISBLANK(I105)),"Falta anotar stock",IF(AND(I105&lt;&gt;"",OR(NOT(ISNUMBER(I105)),I105&lt;0,AND(ISNUMBER(H105),I105&gt;H105))),"Revisar stock asignado",IF(AND(ISNUMBER(I105),I105&gt;0,NOT(ISNUMBER(K105))),"Falta vencimiento de stock",IF(AND(ISNUMBER(I105),I105&gt;0,K105&lt;E105+criterio!$B$4),"El stock no cubre el uso",IF(AND(ISNUMBER(H105),ISNUMBER(I105),H105=I105,OR(N105="",N105=0)),"Cubierto con stock",IF(B105=criterio!$B$25,"Jornada bloqueada",IF(B105+S105&gt;C105,"No llega al retiro",IF(Q105&lt;E105,"Vence antes del último uso",IF(Q105&lt;E105+criterio!$B$4,"Falta margen de vida útil",IF(AND(ISBLANK(H105),L105&lt;&gt;"Adelanto",N(N105)&gt;0,N(M105)&gt;0),"Adelanto en pausa",IF(NOT(ISNUMBER(AM105)),"Previsión",IF(AND(ISNUMBER(H105),N(M105)&gt;0,N(N105)&gt;ROUND(H105-N(I105),3)),"Reasignar sobrante",IF(AND(ISNUMBER(N105),N105&gt;ROUND(AM105-N(I105),3)),"Revisar excedente",IF(AND(ISNUMBER(H105),L105&lt;&gt;"Sí",NOT(AND(N(M105)&gt;0,J105=0))),"Por confirmar",IF(J105=0,"Hecho",IF(AND(ISNUMBER(N105),N105&gt;0),"Completar","Preparar")))))))))))))))))))))))))))))))</f>
        <v/>
      </c>
      <c r="AC105">
        <f t="shared" ref="AC105:AC128" si="40">IF(OR(W105&lt;&gt;"",AJ105=0),0,IF(COUNTIFS($A$9:$A$128,A105,$AJ$9:$AJ$128,1,$D$9:$D$128,"&lt;="&amp;E105,$E$9:$E$128,"&gt;="&amp;D105)&gt;1,1,0))</f>
        <v>0</v>
      </c>
      <c r="AD105">
        <f>IF(OR(NOT(ISNUMBER(B105)),A105="",NOT(ISNUMBER(Z105)),Z105&lt;=0),0,IF(COUNTIFS($A$9:A105,A105,$B$9:B105,B105,$Z$9:Z105,"&gt;0")=1,1,0))</f>
        <v>0</v>
      </c>
      <c r="AE105">
        <f t="shared" ref="AE105:AE128" si="41">IF(OR(AK105&lt;=0,AC105=1),0,IF(AND(A105="Tsue",NOT(AND(ISBLANK(H105),L105="Adelanto"))),IF(ISNUMBER(C105),SUMIFS($H$9:$H$128,$A$9:$A$128,A105,$C$9:$C$128,C105,$AC$9:$AC$128,0,$H$9:$H$128,"&gt;0"),0),IF(ISNUMBER(Z105),Z105,0)))</f>
        <v>0</v>
      </c>
      <c r="AF105">
        <f t="shared" ref="AF105:AF128" si="42">IF(OR(AE105&lt;=0,AK105&lt;=0),0,IF(ABS(AE105/AK105-ROUND(AE105/AK105,0))&gt;0.000001,1,0))</f>
        <v>0</v>
      </c>
      <c r="AG105" t="str">
        <f>IF(OR(AF105=0,AK105&lt;=0),"",IF(A105="Tsue","Retiro: ","Tanda: ")&amp;ROUND(AE105,3)&amp;" "&amp;F105&amp;". Acordar "&amp;INT(AE105/AK105)&amp;" o "&amp;ROUNDUP(AE105/AK105,0)&amp;IF(A105="Tsue"," envases de 5 L."," porciones de 500 g."))</f>
        <v/>
      </c>
      <c r="AH105">
        <f>IF(COUNTA(A105:E105,H105:I105,K105:L105,N105)=0,0,IF(OR(NOT(ISNUMBER(B105)),B105&lt;'Por semana'!$C$45,B105&gt;'Por semana'!$J$46+6),1,0))</f>
        <v>0</v>
      </c>
      <c r="AI105">
        <f t="shared" ref="AI105:AI128" si="44">IF(OR(AC105=1,A105=""),0,IF(ISNUMBER(H105),MAX(0,H105),IF(ISNUMBER(G105),G105,0)))</f>
        <v>0</v>
      </c>
      <c r="AJ105">
        <f t="shared" ref="AJ105:AJ128" si="45">IF(OR(A105="",NOT(ISNUMBER(D105)),NOT(ISNUMBER(E105)),AND(ISNUMBER(H105),H105=0)),0,1)</f>
        <v>0</v>
      </c>
      <c r="AK105">
        <f>IF(R105=0,0,IFERROR(INDEX(criterio!$J$11:$J$22,R105)+0,0))</f>
        <v>0</v>
      </c>
      <c r="AL105" t="str">
        <f t="shared" ref="AL105:AL128" si="46">IF(AC105=1,"Usar la fila ya prevista",IF(AND(AF105=1,OR(AB105="Preparar",AB105="Completar",AB105="Por confirmar"),AA105=""),"Acordar envases",IF(AND(OR(AB105="Previsión",AB105="Por confirmar",AB105="Preparar",AB105="Completar"),AA105&lt;&gt;""),AA105,AB105)))</f>
        <v/>
      </c>
      <c r="AM105" t="str">
        <f t="shared" ref="AM105:AM128" si="47">IF(ISNUMBER(H105),H105,IF(AND(ISBLANK(H105),L105="Adelanto",ISNUMBER(M105),M105&gt;0),M105,""))</f>
        <v/>
      </c>
    </row>
    <row r="106" spans="1:39" ht="31" customHeight="1">
      <c r="A106" s="11"/>
      <c r="B106" s="19"/>
      <c r="C106" s="19"/>
      <c r="D106" s="19"/>
      <c r="E106" s="19"/>
      <c r="F106" s="10" t="str">
        <f>IF(R106=0,"",INDEX(criterio!$B$11:$B$22,R106))</f>
        <v/>
      </c>
      <c r="G106" s="4" t="str">
        <f>IFERROR(IF(INDEX(criterio!$B$31:$B$111,MATCH(W106,criterio!$A$31:$A$111,0))=A106,INDEX(criterio!$C$31:$C$111,MATCH(W106,criterio!$A$31:$A$111,0)),""),"")</f>
        <v/>
      </c>
      <c r="H106" s="5"/>
      <c r="I106" s="5"/>
      <c r="J106" s="29" t="str">
        <f t="shared" si="36"/>
        <v/>
      </c>
      <c r="K106" s="20"/>
      <c r="L106" s="21"/>
      <c r="M106" s="5"/>
      <c r="N106" s="5"/>
      <c r="O106" s="6" t="str">
        <f t="shared" si="37"/>
        <v/>
      </c>
      <c r="P106" s="10" t="str">
        <f>IFERROR(IF(AND(INDEX(criterio!$I$31:$I$111,MATCH(W106,criterio!$A$31:$A$111,0))=1,INDEX(criterio!$B$31:$B$111,MATCH(W106,criterio!$A$31:$A$111,0))=A106,ISNUMBER(B106),B106&gt;=criterio!$B$5,D106&lt;=criterio!$B$6,E106&gt;=criterio!$B$5),"Fuera de la previa del 20/12",""),"")</f>
        <v/>
      </c>
      <c r="Q106" s="22" t="str">
        <f t="shared" si="38"/>
        <v/>
      </c>
      <c r="R106">
        <f>IFERROR(MATCH(A106,criterio!$A$11:$A$22,0),0)</f>
        <v>0</v>
      </c>
      <c r="S106" t="str">
        <f>IF(R106=0,"",INDEX(criterio!$E$11:$E$22,R106))</f>
        <v/>
      </c>
      <c r="T106" t="str">
        <f>IF(R106=0,"",INDEX(criterio!$C$11:$C$22,R106))</f>
        <v/>
      </c>
      <c r="U106" t="str">
        <f>IF(R106=0,"",INDEX(criterio!$D$11:$D$22,R106))</f>
        <v/>
      </c>
      <c r="V106">
        <f>IF(AND(ISNUMBER(B106),B106=Turno!$B$3,OR(AL106="Preparar",AL106="Completar")),MAX($V$8:V105)+1,0)</f>
        <v>0</v>
      </c>
      <c r="Y106" t="str">
        <f>IF(R106=0,"",INDEX(criterio!$I$11:$I$22,R106))</f>
        <v/>
      </c>
      <c r="Z106" t="str">
        <f t="shared" si="39"/>
        <v/>
      </c>
      <c r="AA106" t="str">
        <f>IF(OR(A106="",COUNT(B106:C106)&lt;&gt;2),"",IF(OR(WEEKDAY(B106,2)&gt;5,COUNTIF(criterio!$B$25:$E$25,B106)&gt;0),"Cambiar día de elaboración",IF(OR(WEEKDAY(C106,2)&gt;5,COUNTIF(criterio!$B$25:$E$25,C106)&gt;0),"Cambiar día de retiro",IF(SUMIF($B$9:$B$128,B106,$AD$9:$AD$128)&gt;criterio!$D$26,"Más de dos recetas",IF(OR(A106="",NOT(ISNUMBER(B106))),"",IF(OR(NOT(ISNUMBER($Q$2)),NOT(ISNUMBER($Q$3)),$Q$2&lt;=0,$Q$3&lt;=0),"Revisar topes de carga",IF(SUMIFS($Z$9:$Z$128,$B$9:$B$128,B106,$F$9:$F$128,"kg")/$Q$2+SUMIFS($Z$9:$Z$128,$B$9:$B$128,B106,$F$9:$F$128,"L")/$Q$3&gt;1.000001,"Repartir carga del día","")))))))</f>
        <v/>
      </c>
      <c r="AB106" t="str">
        <f>IF(COUNTA(A106:E106,H106:I106,K106:N106)=0,"",IF(R106=0,"Elegir producto",IF(COUNT(B106:E106)&lt;&gt;4,"Completar fechas",IF(E106&lt;D106,"Revisar días de uso",IF(C106+criterio!$B$3&gt;D106,"El retiro llega tarde",IF(AND(N106&lt;&gt;"",OR(NOT(ISNUMBER(N106)),N106&lt;0)),"Revisar cantidad hecha",IF(AND(M106&lt;&gt;"",OR(NOT(ISNUMBER(M106)),M106&lt;0)),"Revisar cant. a adelantar",IF(AND(AND(ISBLANK(H106),L106="Adelanto"),NOT(ISNUMBER(AM106))),"Cargar cant. a adelantar",IF(AND(AND(ISBLANK(H106),L106="Adelanto"),I106&lt;&gt;"",OR(NOT(ISNUMBER(I106)),I106&lt;&gt;0)),"Revisar stock del adelanto",IF(AND(ISNUMBER(N106),N106&gt;0,L106&lt;&gt;"Sí",L106&lt;&gt;"Adelanto",N(M106)&lt;=0),"Hecho sin liberar",IF(AND(ISBLANK(H106),L106&lt;&gt;"Adelanto",OR(I106&lt;&gt;"",L106="Sí")),"Falta pedido real",IF(AND(H106&lt;&gt;"",OR(NOT(ISNUMBER(H106)),H106&lt;0)),"Revisar pedido",IF(AND(ISNUMBER(H106),H106=0,N(M106)&gt;0,N(N106)&gt;0,N(I106)=0),"Reasignar sobrante",IF(AND(ISNUMBER(H106),H106=0,OR(N106&gt;0,I106&gt;0)),"Revisar pedido y cantidades",IF(AND(ISNUMBER(H106),H106=0),"Sin pedido",IF(AND(ISNUMBER(H106),ISBLANK(I106)),"Falta anotar stock",IF(AND(I106&lt;&gt;"",OR(NOT(ISNUMBER(I106)),I106&lt;0,AND(ISNUMBER(H106),I106&gt;H106))),"Revisar stock asignado",IF(AND(ISNUMBER(I106),I106&gt;0,NOT(ISNUMBER(K106))),"Falta vencimiento de stock",IF(AND(ISNUMBER(I106),I106&gt;0,K106&lt;E106+criterio!$B$4),"El stock no cubre el uso",IF(AND(ISNUMBER(H106),ISNUMBER(I106),H106=I106,OR(N106="",N106=0)),"Cubierto con stock",IF(B106=criterio!$B$25,"Jornada bloqueada",IF(B106+S106&gt;C106,"No llega al retiro",IF(Q106&lt;E106,"Vence antes del último uso",IF(Q106&lt;E106+criterio!$B$4,"Falta margen de vida útil",IF(AND(ISBLANK(H106),L106&lt;&gt;"Adelanto",N(N106)&gt;0,N(M106)&gt;0),"Adelanto en pausa",IF(NOT(ISNUMBER(AM106)),"Previsión",IF(AND(ISNUMBER(H106),N(M106)&gt;0,N(N106)&gt;ROUND(H106-N(I106),3)),"Reasignar sobrante",IF(AND(ISNUMBER(N106),N106&gt;ROUND(AM106-N(I106),3)),"Revisar excedente",IF(AND(ISNUMBER(H106),L106&lt;&gt;"Sí",NOT(AND(N(M106)&gt;0,J106=0))),"Por confirmar",IF(J106=0,"Hecho",IF(AND(ISNUMBER(N106),N106&gt;0),"Completar","Preparar")))))))))))))))))))))))))))))))</f>
        <v/>
      </c>
      <c r="AC106">
        <f t="shared" si="40"/>
        <v>0</v>
      </c>
      <c r="AD106">
        <f>IF(OR(NOT(ISNUMBER(B106)),A106="",NOT(ISNUMBER(Z106)),Z106&lt;=0),0,IF(COUNTIFS($A$9:A106,A106,$B$9:B106,B106,$Z$9:Z106,"&gt;0")=1,1,0))</f>
        <v>0</v>
      </c>
      <c r="AE106">
        <f t="shared" si="41"/>
        <v>0</v>
      </c>
      <c r="AF106">
        <f t="shared" si="42"/>
        <v>0</v>
      </c>
      <c r="AG106" t="str">
        <f>IF(OR(AF106=0,AK106&lt;=0),"",IF(A106="Tsue","Retiro: ","Tanda: ")&amp;ROUND(AE106,3)&amp;" "&amp;F106&amp;". Acordar "&amp;INT(AE106/AK106)&amp;" o "&amp;ROUNDUP(AE106/AK106,0)&amp;IF(A106="Tsue"," envases de 5 L."," porciones de 500 g."))</f>
        <v/>
      </c>
      <c r="AH106">
        <f>IF(COUNTA(A106:E106,H106:I106,K106:L106,N106)=0,0,IF(OR(NOT(ISNUMBER(B106)),B106&lt;'Por semana'!$C$45,B106&gt;'Por semana'!$J$46+6),1,0))</f>
        <v>0</v>
      </c>
      <c r="AI106">
        <f t="shared" si="44"/>
        <v>0</v>
      </c>
      <c r="AJ106">
        <f t="shared" si="45"/>
        <v>0</v>
      </c>
      <c r="AK106">
        <f>IF(R106=0,0,IFERROR(INDEX(criterio!$J$11:$J$22,R106)+0,0))</f>
        <v>0</v>
      </c>
      <c r="AL106" t="str">
        <f t="shared" si="46"/>
        <v/>
      </c>
      <c r="AM106" t="str">
        <f t="shared" si="47"/>
        <v/>
      </c>
    </row>
    <row r="107" spans="1:39" ht="31" customHeight="1">
      <c r="A107" s="11"/>
      <c r="B107" s="19"/>
      <c r="C107" s="19"/>
      <c r="D107" s="19"/>
      <c r="E107" s="19"/>
      <c r="F107" s="10" t="str">
        <f>IF(R107=0,"",INDEX(criterio!$B$11:$B$22,R107))</f>
        <v/>
      </c>
      <c r="G107" s="4" t="str">
        <f>IFERROR(IF(INDEX(criterio!$B$31:$B$111,MATCH(W107,criterio!$A$31:$A$111,0))=A107,INDEX(criterio!$C$31:$C$111,MATCH(W107,criterio!$A$31:$A$111,0)),""),"")</f>
        <v/>
      </c>
      <c r="H107" s="5"/>
      <c r="I107" s="5"/>
      <c r="J107" s="29" t="str">
        <f t="shared" si="36"/>
        <v/>
      </c>
      <c r="K107" s="20"/>
      <c r="L107" s="21"/>
      <c r="M107" s="5"/>
      <c r="N107" s="5"/>
      <c r="O107" s="6" t="str">
        <f t="shared" si="37"/>
        <v/>
      </c>
      <c r="P107" s="10" t="str">
        <f>IFERROR(IF(AND(INDEX(criterio!$I$31:$I$111,MATCH(W107,criterio!$A$31:$A$111,0))=1,INDEX(criterio!$B$31:$B$111,MATCH(W107,criterio!$A$31:$A$111,0))=A107,ISNUMBER(B107),B107&gt;=criterio!$B$5,D107&lt;=criterio!$B$6,E107&gt;=criterio!$B$5),"Fuera de la previa del 20/12",""),"")</f>
        <v/>
      </c>
      <c r="Q107" s="22" t="str">
        <f t="shared" si="38"/>
        <v/>
      </c>
      <c r="R107">
        <f>IFERROR(MATCH(A107,criterio!$A$11:$A$22,0),0)</f>
        <v>0</v>
      </c>
      <c r="S107" t="str">
        <f>IF(R107=0,"",INDEX(criterio!$E$11:$E$22,R107))</f>
        <v/>
      </c>
      <c r="T107" t="str">
        <f>IF(R107=0,"",INDEX(criterio!$C$11:$C$22,R107))</f>
        <v/>
      </c>
      <c r="U107" t="str">
        <f>IF(R107=0,"",INDEX(criterio!$D$11:$D$22,R107))</f>
        <v/>
      </c>
      <c r="V107">
        <f>IF(AND(ISNUMBER(B107),B107=Turno!$B$3,OR(AL107="Preparar",AL107="Completar")),MAX($V$8:V106)+1,0)</f>
        <v>0</v>
      </c>
      <c r="Y107" t="str">
        <f>IF(R107=0,"",INDEX(criterio!$I$11:$I$22,R107))</f>
        <v/>
      </c>
      <c r="Z107" t="str">
        <f t="shared" si="39"/>
        <v/>
      </c>
      <c r="AA107" t="str">
        <f>IF(OR(A107="",COUNT(B107:C107)&lt;&gt;2),"",IF(OR(WEEKDAY(B107,2)&gt;5,COUNTIF(criterio!$B$25:$E$25,B107)&gt;0),"Cambiar día de elaboración",IF(OR(WEEKDAY(C107,2)&gt;5,COUNTIF(criterio!$B$25:$E$25,C107)&gt;0),"Cambiar día de retiro",IF(SUMIF($B$9:$B$128,B107,$AD$9:$AD$128)&gt;criterio!$D$26,"Más de dos recetas",IF(OR(A107="",NOT(ISNUMBER(B107))),"",IF(OR(NOT(ISNUMBER($Q$2)),NOT(ISNUMBER($Q$3)),$Q$2&lt;=0,$Q$3&lt;=0),"Revisar topes de carga",IF(SUMIFS($Z$9:$Z$128,$B$9:$B$128,B107,$F$9:$F$128,"kg")/$Q$2+SUMIFS($Z$9:$Z$128,$B$9:$B$128,B107,$F$9:$F$128,"L")/$Q$3&gt;1.000001,"Repartir carga del día","")))))))</f>
        <v/>
      </c>
      <c r="AB107" t="str">
        <f>IF(COUNTA(A107:E107,H107:I107,K107:N107)=0,"",IF(R107=0,"Elegir producto",IF(COUNT(B107:E107)&lt;&gt;4,"Completar fechas",IF(E107&lt;D107,"Revisar días de uso",IF(C107+criterio!$B$3&gt;D107,"El retiro llega tarde",IF(AND(N107&lt;&gt;"",OR(NOT(ISNUMBER(N107)),N107&lt;0)),"Revisar cantidad hecha",IF(AND(M107&lt;&gt;"",OR(NOT(ISNUMBER(M107)),M107&lt;0)),"Revisar cant. a adelantar",IF(AND(AND(ISBLANK(H107),L107="Adelanto"),NOT(ISNUMBER(AM107))),"Cargar cant. a adelantar",IF(AND(AND(ISBLANK(H107),L107="Adelanto"),I107&lt;&gt;"",OR(NOT(ISNUMBER(I107)),I107&lt;&gt;0)),"Revisar stock del adelanto",IF(AND(ISNUMBER(N107),N107&gt;0,L107&lt;&gt;"Sí",L107&lt;&gt;"Adelanto",N(M107)&lt;=0),"Hecho sin liberar",IF(AND(ISBLANK(H107),L107&lt;&gt;"Adelanto",OR(I107&lt;&gt;"",L107="Sí")),"Falta pedido real",IF(AND(H107&lt;&gt;"",OR(NOT(ISNUMBER(H107)),H107&lt;0)),"Revisar pedido",IF(AND(ISNUMBER(H107),H107=0,N(M107)&gt;0,N(N107)&gt;0,N(I107)=0),"Reasignar sobrante",IF(AND(ISNUMBER(H107),H107=0,OR(N107&gt;0,I107&gt;0)),"Revisar pedido y cantidades",IF(AND(ISNUMBER(H107),H107=0),"Sin pedido",IF(AND(ISNUMBER(H107),ISBLANK(I107)),"Falta anotar stock",IF(AND(I107&lt;&gt;"",OR(NOT(ISNUMBER(I107)),I107&lt;0,AND(ISNUMBER(H107),I107&gt;H107))),"Revisar stock asignado",IF(AND(ISNUMBER(I107),I107&gt;0,NOT(ISNUMBER(K107))),"Falta vencimiento de stock",IF(AND(ISNUMBER(I107),I107&gt;0,K107&lt;E107+criterio!$B$4),"El stock no cubre el uso",IF(AND(ISNUMBER(H107),ISNUMBER(I107),H107=I107,OR(N107="",N107=0)),"Cubierto con stock",IF(B107=criterio!$B$25,"Jornada bloqueada",IF(B107+S107&gt;C107,"No llega al retiro",IF(Q107&lt;E107,"Vence antes del último uso",IF(Q107&lt;E107+criterio!$B$4,"Falta margen de vida útil",IF(AND(ISBLANK(H107),L107&lt;&gt;"Adelanto",N(N107)&gt;0,N(M107)&gt;0),"Adelanto en pausa",IF(NOT(ISNUMBER(AM107)),"Previsión",IF(AND(ISNUMBER(H107),N(M107)&gt;0,N(N107)&gt;ROUND(H107-N(I107),3)),"Reasignar sobrante",IF(AND(ISNUMBER(N107),N107&gt;ROUND(AM107-N(I107),3)),"Revisar excedente",IF(AND(ISNUMBER(H107),L107&lt;&gt;"Sí",NOT(AND(N(M107)&gt;0,J107=0))),"Por confirmar",IF(J107=0,"Hecho",IF(AND(ISNUMBER(N107),N107&gt;0),"Completar","Preparar")))))))))))))))))))))))))))))))</f>
        <v/>
      </c>
      <c r="AC107">
        <f t="shared" si="40"/>
        <v>0</v>
      </c>
      <c r="AD107">
        <f>IF(OR(NOT(ISNUMBER(B107)),A107="",NOT(ISNUMBER(Z107)),Z107&lt;=0),0,IF(COUNTIFS($A$9:A107,A107,$B$9:B107,B107,$Z$9:Z107,"&gt;0")=1,1,0))</f>
        <v>0</v>
      </c>
      <c r="AE107">
        <f t="shared" si="41"/>
        <v>0</v>
      </c>
      <c r="AF107">
        <f t="shared" si="42"/>
        <v>0</v>
      </c>
      <c r="AG107" t="str">
        <f>IF(OR(AF107=0,AK107&lt;=0),"",IF(A107="Tsue","Retiro: ","Tanda: ")&amp;ROUND(AE107,3)&amp;" "&amp;F107&amp;". Acordar "&amp;INT(AE107/AK107)&amp;" o "&amp;ROUNDUP(AE107/AK107,0)&amp;IF(A107="Tsue"," envases de 5 L."," porciones de 500 g."))</f>
        <v/>
      </c>
      <c r="AH107">
        <f>IF(COUNTA(A107:E107,H107:I107,K107:L107,N107)=0,0,IF(OR(NOT(ISNUMBER(B107)),B107&lt;'Por semana'!$C$45,B107&gt;'Por semana'!$J$46+6),1,0))</f>
        <v>0</v>
      </c>
      <c r="AI107">
        <f t="shared" si="44"/>
        <v>0</v>
      </c>
      <c r="AJ107">
        <f t="shared" si="45"/>
        <v>0</v>
      </c>
      <c r="AK107">
        <f>IF(R107=0,0,IFERROR(INDEX(criterio!$J$11:$J$22,R107)+0,0))</f>
        <v>0</v>
      </c>
      <c r="AL107" t="str">
        <f t="shared" si="46"/>
        <v/>
      </c>
      <c r="AM107" t="str">
        <f t="shared" si="47"/>
        <v/>
      </c>
    </row>
    <row r="108" spans="1:39" ht="31" customHeight="1">
      <c r="A108" s="11"/>
      <c r="B108" s="19"/>
      <c r="C108" s="19"/>
      <c r="D108" s="19"/>
      <c r="E108" s="19"/>
      <c r="F108" s="10" t="str">
        <f>IF(R108=0,"",INDEX(criterio!$B$11:$B$22,R108))</f>
        <v/>
      </c>
      <c r="G108" s="4" t="str">
        <f>IFERROR(IF(INDEX(criterio!$B$31:$B$111,MATCH(W108,criterio!$A$31:$A$111,0))=A108,INDEX(criterio!$C$31:$C$111,MATCH(W108,criterio!$A$31:$A$111,0)),""),"")</f>
        <v/>
      </c>
      <c r="H108" s="5"/>
      <c r="I108" s="5"/>
      <c r="J108" s="29" t="str">
        <f t="shared" si="36"/>
        <v/>
      </c>
      <c r="K108" s="20"/>
      <c r="L108" s="21"/>
      <c r="M108" s="5"/>
      <c r="N108" s="5"/>
      <c r="O108" s="6" t="str">
        <f t="shared" si="37"/>
        <v/>
      </c>
      <c r="P108" s="10" t="str">
        <f>IFERROR(IF(AND(INDEX(criterio!$I$31:$I$111,MATCH(W108,criterio!$A$31:$A$111,0))=1,INDEX(criterio!$B$31:$B$111,MATCH(W108,criterio!$A$31:$A$111,0))=A108,ISNUMBER(B108),B108&gt;=criterio!$B$5,D108&lt;=criterio!$B$6,E108&gt;=criterio!$B$5),"Fuera de la previa del 20/12",""),"")</f>
        <v/>
      </c>
      <c r="Q108" s="22" t="str">
        <f t="shared" si="38"/>
        <v/>
      </c>
      <c r="R108">
        <f>IFERROR(MATCH(A108,criterio!$A$11:$A$22,0),0)</f>
        <v>0</v>
      </c>
      <c r="S108" t="str">
        <f>IF(R108=0,"",INDEX(criterio!$E$11:$E$22,R108))</f>
        <v/>
      </c>
      <c r="T108" t="str">
        <f>IF(R108=0,"",INDEX(criterio!$C$11:$C$22,R108))</f>
        <v/>
      </c>
      <c r="U108" t="str">
        <f>IF(R108=0,"",INDEX(criterio!$D$11:$D$22,R108))</f>
        <v/>
      </c>
      <c r="V108">
        <f>IF(AND(ISNUMBER(B108),B108=Turno!$B$3,OR(AL108="Preparar",AL108="Completar")),MAX($V$8:V107)+1,0)</f>
        <v>0</v>
      </c>
      <c r="Y108" t="str">
        <f>IF(R108=0,"",INDEX(criterio!$I$11:$I$22,R108))</f>
        <v/>
      </c>
      <c r="Z108" t="str">
        <f t="shared" si="39"/>
        <v/>
      </c>
      <c r="AA108" t="str">
        <f>IF(OR(A108="",COUNT(B108:C108)&lt;&gt;2),"",IF(OR(WEEKDAY(B108,2)&gt;5,COUNTIF(criterio!$B$25:$E$25,B108)&gt;0),"Cambiar día de elaboración",IF(OR(WEEKDAY(C108,2)&gt;5,COUNTIF(criterio!$B$25:$E$25,C108)&gt;0),"Cambiar día de retiro",IF(SUMIF($B$9:$B$128,B108,$AD$9:$AD$128)&gt;criterio!$D$26,"Más de dos recetas",IF(OR(A108="",NOT(ISNUMBER(B108))),"",IF(OR(NOT(ISNUMBER($Q$2)),NOT(ISNUMBER($Q$3)),$Q$2&lt;=0,$Q$3&lt;=0),"Revisar topes de carga",IF(SUMIFS($Z$9:$Z$128,$B$9:$B$128,B108,$F$9:$F$128,"kg")/$Q$2+SUMIFS($Z$9:$Z$128,$B$9:$B$128,B108,$F$9:$F$128,"L")/$Q$3&gt;1.000001,"Repartir carga del día","")))))))</f>
        <v/>
      </c>
      <c r="AB108" t="str">
        <f>IF(COUNTA(A108:E108,H108:I108,K108:N108)=0,"",IF(R108=0,"Elegir producto",IF(COUNT(B108:E108)&lt;&gt;4,"Completar fechas",IF(E108&lt;D108,"Revisar días de uso",IF(C108+criterio!$B$3&gt;D108,"El retiro llega tarde",IF(AND(N108&lt;&gt;"",OR(NOT(ISNUMBER(N108)),N108&lt;0)),"Revisar cantidad hecha",IF(AND(M108&lt;&gt;"",OR(NOT(ISNUMBER(M108)),M108&lt;0)),"Revisar cant. a adelantar",IF(AND(AND(ISBLANK(H108),L108="Adelanto"),NOT(ISNUMBER(AM108))),"Cargar cant. a adelantar",IF(AND(AND(ISBLANK(H108),L108="Adelanto"),I108&lt;&gt;"",OR(NOT(ISNUMBER(I108)),I108&lt;&gt;0)),"Revisar stock del adelanto",IF(AND(ISNUMBER(N108),N108&gt;0,L108&lt;&gt;"Sí",L108&lt;&gt;"Adelanto",N(M108)&lt;=0),"Hecho sin liberar",IF(AND(ISBLANK(H108),L108&lt;&gt;"Adelanto",OR(I108&lt;&gt;"",L108="Sí")),"Falta pedido real",IF(AND(H108&lt;&gt;"",OR(NOT(ISNUMBER(H108)),H108&lt;0)),"Revisar pedido",IF(AND(ISNUMBER(H108),H108=0,N(M108)&gt;0,N(N108)&gt;0,N(I108)=0),"Reasignar sobrante",IF(AND(ISNUMBER(H108),H108=0,OR(N108&gt;0,I108&gt;0)),"Revisar pedido y cantidades",IF(AND(ISNUMBER(H108),H108=0),"Sin pedido",IF(AND(ISNUMBER(H108),ISBLANK(I108)),"Falta anotar stock",IF(AND(I108&lt;&gt;"",OR(NOT(ISNUMBER(I108)),I108&lt;0,AND(ISNUMBER(H108),I108&gt;H108))),"Revisar stock asignado",IF(AND(ISNUMBER(I108),I108&gt;0,NOT(ISNUMBER(K108))),"Falta vencimiento de stock",IF(AND(ISNUMBER(I108),I108&gt;0,K108&lt;E108+criterio!$B$4),"El stock no cubre el uso",IF(AND(ISNUMBER(H108),ISNUMBER(I108),H108=I108,OR(N108="",N108=0)),"Cubierto con stock",IF(B108=criterio!$B$25,"Jornada bloqueada",IF(B108+S108&gt;C108,"No llega al retiro",IF(Q108&lt;E108,"Vence antes del último uso",IF(Q108&lt;E108+criterio!$B$4,"Falta margen de vida útil",IF(AND(ISBLANK(H108),L108&lt;&gt;"Adelanto",N(N108)&gt;0,N(M108)&gt;0),"Adelanto en pausa",IF(NOT(ISNUMBER(AM108)),"Previsión",IF(AND(ISNUMBER(H108),N(M108)&gt;0,N(N108)&gt;ROUND(H108-N(I108),3)),"Reasignar sobrante",IF(AND(ISNUMBER(N108),N108&gt;ROUND(AM108-N(I108),3)),"Revisar excedente",IF(AND(ISNUMBER(H108),L108&lt;&gt;"Sí",NOT(AND(N(M108)&gt;0,J108=0))),"Por confirmar",IF(J108=0,"Hecho",IF(AND(ISNUMBER(N108),N108&gt;0),"Completar","Preparar")))))))))))))))))))))))))))))))</f>
        <v/>
      </c>
      <c r="AC108">
        <f t="shared" si="40"/>
        <v>0</v>
      </c>
      <c r="AD108">
        <f>IF(OR(NOT(ISNUMBER(B108)),A108="",NOT(ISNUMBER(Z108)),Z108&lt;=0),0,IF(COUNTIFS($A$9:A108,A108,$B$9:B108,B108,$Z$9:Z108,"&gt;0")=1,1,0))</f>
        <v>0</v>
      </c>
      <c r="AE108">
        <f t="shared" si="41"/>
        <v>0</v>
      </c>
      <c r="AF108">
        <f t="shared" si="42"/>
        <v>0</v>
      </c>
      <c r="AG108" t="str">
        <f>IF(OR(AF108=0,AK108&lt;=0),"",IF(A108="Tsue","Retiro: ","Tanda: ")&amp;ROUND(AE108,3)&amp;" "&amp;F108&amp;". Acordar "&amp;INT(AE108/AK108)&amp;" o "&amp;ROUNDUP(AE108/AK108,0)&amp;IF(A108="Tsue"," envases de 5 L."," porciones de 500 g."))</f>
        <v/>
      </c>
      <c r="AH108">
        <f>IF(COUNTA(A108:E108,H108:I108,K108:L108,N108)=0,0,IF(OR(NOT(ISNUMBER(B108)),B108&lt;'Por semana'!$C$45,B108&gt;'Por semana'!$J$46+6),1,0))</f>
        <v>0</v>
      </c>
      <c r="AI108">
        <f t="shared" si="44"/>
        <v>0</v>
      </c>
      <c r="AJ108">
        <f t="shared" si="45"/>
        <v>0</v>
      </c>
      <c r="AK108">
        <f>IF(R108=0,0,IFERROR(INDEX(criterio!$J$11:$J$22,R108)+0,0))</f>
        <v>0</v>
      </c>
      <c r="AL108" t="str">
        <f t="shared" si="46"/>
        <v/>
      </c>
      <c r="AM108" t="str">
        <f t="shared" si="47"/>
        <v/>
      </c>
    </row>
    <row r="109" spans="1:39" ht="31" customHeight="1">
      <c r="A109" s="11"/>
      <c r="B109" s="19"/>
      <c r="C109" s="19"/>
      <c r="D109" s="19"/>
      <c r="E109" s="19"/>
      <c r="F109" s="10" t="str">
        <f>IF(R109=0,"",INDEX(criterio!$B$11:$B$22,R109))</f>
        <v/>
      </c>
      <c r="G109" s="4" t="str">
        <f>IFERROR(IF(INDEX(criterio!$B$31:$B$111,MATCH(W109,criterio!$A$31:$A$111,0))=A109,INDEX(criterio!$C$31:$C$111,MATCH(W109,criterio!$A$31:$A$111,0)),""),"")</f>
        <v/>
      </c>
      <c r="H109" s="5"/>
      <c r="I109" s="5"/>
      <c r="J109" s="29" t="str">
        <f t="shared" si="36"/>
        <v/>
      </c>
      <c r="K109" s="20"/>
      <c r="L109" s="21"/>
      <c r="M109" s="5"/>
      <c r="N109" s="5"/>
      <c r="O109" s="6" t="str">
        <f t="shared" si="37"/>
        <v/>
      </c>
      <c r="P109" s="10" t="str">
        <f>IFERROR(IF(AND(INDEX(criterio!$I$31:$I$111,MATCH(W109,criterio!$A$31:$A$111,0))=1,INDEX(criterio!$B$31:$B$111,MATCH(W109,criterio!$A$31:$A$111,0))=A109,ISNUMBER(B109),B109&gt;=criterio!$B$5,D109&lt;=criterio!$B$6,E109&gt;=criterio!$B$5),"Fuera de la previa del 20/12",""),"")</f>
        <v/>
      </c>
      <c r="Q109" s="22" t="str">
        <f t="shared" si="38"/>
        <v/>
      </c>
      <c r="R109">
        <f>IFERROR(MATCH(A109,criterio!$A$11:$A$22,0),0)</f>
        <v>0</v>
      </c>
      <c r="S109" t="str">
        <f>IF(R109=0,"",INDEX(criterio!$E$11:$E$22,R109))</f>
        <v/>
      </c>
      <c r="T109" t="str">
        <f>IF(R109=0,"",INDEX(criterio!$C$11:$C$22,R109))</f>
        <v/>
      </c>
      <c r="U109" t="str">
        <f>IF(R109=0,"",INDEX(criterio!$D$11:$D$22,R109))</f>
        <v/>
      </c>
      <c r="V109">
        <f>IF(AND(ISNUMBER(B109),B109=Turno!$B$3,OR(AL109="Preparar",AL109="Completar")),MAX($V$8:V108)+1,0)</f>
        <v>0</v>
      </c>
      <c r="Y109" t="str">
        <f>IF(R109=0,"",INDEX(criterio!$I$11:$I$22,R109))</f>
        <v/>
      </c>
      <c r="Z109" t="str">
        <f t="shared" si="39"/>
        <v/>
      </c>
      <c r="AA109" t="str">
        <f>IF(OR(A109="",COUNT(B109:C109)&lt;&gt;2),"",IF(OR(WEEKDAY(B109,2)&gt;5,COUNTIF(criterio!$B$25:$E$25,B109)&gt;0),"Cambiar día de elaboración",IF(OR(WEEKDAY(C109,2)&gt;5,COUNTIF(criterio!$B$25:$E$25,C109)&gt;0),"Cambiar día de retiro",IF(SUMIF($B$9:$B$128,B109,$AD$9:$AD$128)&gt;criterio!$D$26,"Más de dos recetas",IF(OR(A109="",NOT(ISNUMBER(B109))),"",IF(OR(NOT(ISNUMBER($Q$2)),NOT(ISNUMBER($Q$3)),$Q$2&lt;=0,$Q$3&lt;=0),"Revisar topes de carga",IF(SUMIFS($Z$9:$Z$128,$B$9:$B$128,B109,$F$9:$F$128,"kg")/$Q$2+SUMIFS($Z$9:$Z$128,$B$9:$B$128,B109,$F$9:$F$128,"L")/$Q$3&gt;1.000001,"Repartir carga del día","")))))))</f>
        <v/>
      </c>
      <c r="AB109" t="str">
        <f>IF(COUNTA(A109:E109,H109:I109,K109:N109)=0,"",IF(R109=0,"Elegir producto",IF(COUNT(B109:E109)&lt;&gt;4,"Completar fechas",IF(E109&lt;D109,"Revisar días de uso",IF(C109+criterio!$B$3&gt;D109,"El retiro llega tarde",IF(AND(N109&lt;&gt;"",OR(NOT(ISNUMBER(N109)),N109&lt;0)),"Revisar cantidad hecha",IF(AND(M109&lt;&gt;"",OR(NOT(ISNUMBER(M109)),M109&lt;0)),"Revisar cant. a adelantar",IF(AND(AND(ISBLANK(H109),L109="Adelanto"),NOT(ISNUMBER(AM109))),"Cargar cant. a adelantar",IF(AND(AND(ISBLANK(H109),L109="Adelanto"),I109&lt;&gt;"",OR(NOT(ISNUMBER(I109)),I109&lt;&gt;0)),"Revisar stock del adelanto",IF(AND(ISNUMBER(N109),N109&gt;0,L109&lt;&gt;"Sí",L109&lt;&gt;"Adelanto",N(M109)&lt;=0),"Hecho sin liberar",IF(AND(ISBLANK(H109),L109&lt;&gt;"Adelanto",OR(I109&lt;&gt;"",L109="Sí")),"Falta pedido real",IF(AND(H109&lt;&gt;"",OR(NOT(ISNUMBER(H109)),H109&lt;0)),"Revisar pedido",IF(AND(ISNUMBER(H109),H109=0,N(M109)&gt;0,N(N109)&gt;0,N(I109)=0),"Reasignar sobrante",IF(AND(ISNUMBER(H109),H109=0,OR(N109&gt;0,I109&gt;0)),"Revisar pedido y cantidades",IF(AND(ISNUMBER(H109),H109=0),"Sin pedido",IF(AND(ISNUMBER(H109),ISBLANK(I109)),"Falta anotar stock",IF(AND(I109&lt;&gt;"",OR(NOT(ISNUMBER(I109)),I109&lt;0,AND(ISNUMBER(H109),I109&gt;H109))),"Revisar stock asignado",IF(AND(ISNUMBER(I109),I109&gt;0,NOT(ISNUMBER(K109))),"Falta vencimiento de stock",IF(AND(ISNUMBER(I109),I109&gt;0,K109&lt;E109+criterio!$B$4),"El stock no cubre el uso",IF(AND(ISNUMBER(H109),ISNUMBER(I109),H109=I109,OR(N109="",N109=0)),"Cubierto con stock",IF(B109=criterio!$B$25,"Jornada bloqueada",IF(B109+S109&gt;C109,"No llega al retiro",IF(Q109&lt;E109,"Vence antes del último uso",IF(Q109&lt;E109+criterio!$B$4,"Falta margen de vida útil",IF(AND(ISBLANK(H109),L109&lt;&gt;"Adelanto",N(N109)&gt;0,N(M109)&gt;0),"Adelanto en pausa",IF(NOT(ISNUMBER(AM109)),"Previsión",IF(AND(ISNUMBER(H109),N(M109)&gt;0,N(N109)&gt;ROUND(H109-N(I109),3)),"Reasignar sobrante",IF(AND(ISNUMBER(N109),N109&gt;ROUND(AM109-N(I109),3)),"Revisar excedente",IF(AND(ISNUMBER(H109),L109&lt;&gt;"Sí",NOT(AND(N(M109)&gt;0,J109=0))),"Por confirmar",IF(J109=0,"Hecho",IF(AND(ISNUMBER(N109),N109&gt;0),"Completar","Preparar")))))))))))))))))))))))))))))))</f>
        <v/>
      </c>
      <c r="AC109">
        <f t="shared" si="40"/>
        <v>0</v>
      </c>
      <c r="AD109">
        <f>IF(OR(NOT(ISNUMBER(B109)),A109="",NOT(ISNUMBER(Z109)),Z109&lt;=0),0,IF(COUNTIFS($A$9:A109,A109,$B$9:B109,B109,$Z$9:Z109,"&gt;0")=1,1,0))</f>
        <v>0</v>
      </c>
      <c r="AE109">
        <f t="shared" si="41"/>
        <v>0</v>
      </c>
      <c r="AF109">
        <f t="shared" si="42"/>
        <v>0</v>
      </c>
      <c r="AG109" t="str">
        <f>IF(OR(AF109=0,AK109&lt;=0),"",IF(A109="Tsue","Retiro: ","Tanda: ")&amp;ROUND(AE109,3)&amp;" "&amp;F109&amp;". Acordar "&amp;INT(AE109/AK109)&amp;" o "&amp;ROUNDUP(AE109/AK109,0)&amp;IF(A109="Tsue"," envases de 5 L."," porciones de 500 g."))</f>
        <v/>
      </c>
      <c r="AH109">
        <f>IF(COUNTA(A109:E109,H109:I109,K109:L109,N109)=0,0,IF(OR(NOT(ISNUMBER(B109)),B109&lt;'Por semana'!$C$45,B109&gt;'Por semana'!$J$46+6),1,0))</f>
        <v>0</v>
      </c>
      <c r="AI109">
        <f t="shared" si="44"/>
        <v>0</v>
      </c>
      <c r="AJ109">
        <f t="shared" si="45"/>
        <v>0</v>
      </c>
      <c r="AK109">
        <f>IF(R109=0,0,IFERROR(INDEX(criterio!$J$11:$J$22,R109)+0,0))</f>
        <v>0</v>
      </c>
      <c r="AL109" t="str">
        <f t="shared" si="46"/>
        <v/>
      </c>
      <c r="AM109" t="str">
        <f t="shared" si="47"/>
        <v/>
      </c>
    </row>
    <row r="110" spans="1:39" ht="31" customHeight="1">
      <c r="A110" s="11"/>
      <c r="B110" s="19"/>
      <c r="C110" s="19"/>
      <c r="D110" s="19"/>
      <c r="E110" s="19"/>
      <c r="F110" s="10" t="str">
        <f>IF(R110=0,"",INDEX(criterio!$B$11:$B$22,R110))</f>
        <v/>
      </c>
      <c r="G110" s="4" t="str">
        <f>IFERROR(IF(INDEX(criterio!$B$31:$B$111,MATCH(W110,criterio!$A$31:$A$111,0))=A110,INDEX(criterio!$C$31:$C$111,MATCH(W110,criterio!$A$31:$A$111,0)),""),"")</f>
        <v/>
      </c>
      <c r="H110" s="5"/>
      <c r="I110" s="5"/>
      <c r="J110" s="29" t="str">
        <f t="shared" si="36"/>
        <v/>
      </c>
      <c r="K110" s="20"/>
      <c r="L110" s="21"/>
      <c r="M110" s="5"/>
      <c r="N110" s="5"/>
      <c r="O110" s="6" t="str">
        <f t="shared" si="37"/>
        <v/>
      </c>
      <c r="P110" s="10" t="str">
        <f>IFERROR(IF(AND(INDEX(criterio!$I$31:$I$111,MATCH(W110,criterio!$A$31:$A$111,0))=1,INDEX(criterio!$B$31:$B$111,MATCH(W110,criterio!$A$31:$A$111,0))=A110,ISNUMBER(B110),B110&gt;=criterio!$B$5,D110&lt;=criterio!$B$6,E110&gt;=criterio!$B$5),"Fuera de la previa del 20/12",""),"")</f>
        <v/>
      </c>
      <c r="Q110" s="22" t="str">
        <f t="shared" si="38"/>
        <v/>
      </c>
      <c r="R110">
        <f>IFERROR(MATCH(A110,criterio!$A$11:$A$22,0),0)</f>
        <v>0</v>
      </c>
      <c r="S110" t="str">
        <f>IF(R110=0,"",INDEX(criterio!$E$11:$E$22,R110))</f>
        <v/>
      </c>
      <c r="T110" t="str">
        <f>IF(R110=0,"",INDEX(criterio!$C$11:$C$22,R110))</f>
        <v/>
      </c>
      <c r="U110" t="str">
        <f>IF(R110=0,"",INDEX(criterio!$D$11:$D$22,R110))</f>
        <v/>
      </c>
      <c r="V110">
        <f>IF(AND(ISNUMBER(B110),B110=Turno!$B$3,OR(AL110="Preparar",AL110="Completar")),MAX($V$8:V109)+1,0)</f>
        <v>0</v>
      </c>
      <c r="Y110" t="str">
        <f>IF(R110=0,"",INDEX(criterio!$I$11:$I$22,R110))</f>
        <v/>
      </c>
      <c r="Z110" t="str">
        <f t="shared" si="39"/>
        <v/>
      </c>
      <c r="AA110" t="str">
        <f>IF(OR(A110="",COUNT(B110:C110)&lt;&gt;2),"",IF(OR(WEEKDAY(B110,2)&gt;5,COUNTIF(criterio!$B$25:$E$25,B110)&gt;0),"Cambiar día de elaboración",IF(OR(WEEKDAY(C110,2)&gt;5,COUNTIF(criterio!$B$25:$E$25,C110)&gt;0),"Cambiar día de retiro",IF(SUMIF($B$9:$B$128,B110,$AD$9:$AD$128)&gt;criterio!$D$26,"Más de dos recetas",IF(OR(A110="",NOT(ISNUMBER(B110))),"",IF(OR(NOT(ISNUMBER($Q$2)),NOT(ISNUMBER($Q$3)),$Q$2&lt;=0,$Q$3&lt;=0),"Revisar topes de carga",IF(SUMIFS($Z$9:$Z$128,$B$9:$B$128,B110,$F$9:$F$128,"kg")/$Q$2+SUMIFS($Z$9:$Z$128,$B$9:$B$128,B110,$F$9:$F$128,"L")/$Q$3&gt;1.000001,"Repartir carga del día","")))))))</f>
        <v/>
      </c>
      <c r="AB110" t="str">
        <f>IF(COUNTA(A110:E110,H110:I110,K110:N110)=0,"",IF(R110=0,"Elegir producto",IF(COUNT(B110:E110)&lt;&gt;4,"Completar fechas",IF(E110&lt;D110,"Revisar días de uso",IF(C110+criterio!$B$3&gt;D110,"El retiro llega tarde",IF(AND(N110&lt;&gt;"",OR(NOT(ISNUMBER(N110)),N110&lt;0)),"Revisar cantidad hecha",IF(AND(M110&lt;&gt;"",OR(NOT(ISNUMBER(M110)),M110&lt;0)),"Revisar cant. a adelantar",IF(AND(AND(ISBLANK(H110),L110="Adelanto"),NOT(ISNUMBER(AM110))),"Cargar cant. a adelantar",IF(AND(AND(ISBLANK(H110),L110="Adelanto"),I110&lt;&gt;"",OR(NOT(ISNUMBER(I110)),I110&lt;&gt;0)),"Revisar stock del adelanto",IF(AND(ISNUMBER(N110),N110&gt;0,L110&lt;&gt;"Sí",L110&lt;&gt;"Adelanto",N(M110)&lt;=0),"Hecho sin liberar",IF(AND(ISBLANK(H110),L110&lt;&gt;"Adelanto",OR(I110&lt;&gt;"",L110="Sí")),"Falta pedido real",IF(AND(H110&lt;&gt;"",OR(NOT(ISNUMBER(H110)),H110&lt;0)),"Revisar pedido",IF(AND(ISNUMBER(H110),H110=0,N(M110)&gt;0,N(N110)&gt;0,N(I110)=0),"Reasignar sobrante",IF(AND(ISNUMBER(H110),H110=0,OR(N110&gt;0,I110&gt;0)),"Revisar pedido y cantidades",IF(AND(ISNUMBER(H110),H110=0),"Sin pedido",IF(AND(ISNUMBER(H110),ISBLANK(I110)),"Falta anotar stock",IF(AND(I110&lt;&gt;"",OR(NOT(ISNUMBER(I110)),I110&lt;0,AND(ISNUMBER(H110),I110&gt;H110))),"Revisar stock asignado",IF(AND(ISNUMBER(I110),I110&gt;0,NOT(ISNUMBER(K110))),"Falta vencimiento de stock",IF(AND(ISNUMBER(I110),I110&gt;0,K110&lt;E110+criterio!$B$4),"El stock no cubre el uso",IF(AND(ISNUMBER(H110),ISNUMBER(I110),H110=I110,OR(N110="",N110=0)),"Cubierto con stock",IF(B110=criterio!$B$25,"Jornada bloqueada",IF(B110+S110&gt;C110,"No llega al retiro",IF(Q110&lt;E110,"Vence antes del último uso",IF(Q110&lt;E110+criterio!$B$4,"Falta margen de vida útil",IF(AND(ISBLANK(H110),L110&lt;&gt;"Adelanto",N(N110)&gt;0,N(M110)&gt;0),"Adelanto en pausa",IF(NOT(ISNUMBER(AM110)),"Previsión",IF(AND(ISNUMBER(H110),N(M110)&gt;0,N(N110)&gt;ROUND(H110-N(I110),3)),"Reasignar sobrante",IF(AND(ISNUMBER(N110),N110&gt;ROUND(AM110-N(I110),3)),"Revisar excedente",IF(AND(ISNUMBER(H110),L110&lt;&gt;"Sí",NOT(AND(N(M110)&gt;0,J110=0))),"Por confirmar",IF(J110=0,"Hecho",IF(AND(ISNUMBER(N110),N110&gt;0),"Completar","Preparar")))))))))))))))))))))))))))))))</f>
        <v/>
      </c>
      <c r="AC110">
        <f t="shared" si="40"/>
        <v>0</v>
      </c>
      <c r="AD110">
        <f>IF(OR(NOT(ISNUMBER(B110)),A110="",NOT(ISNUMBER(Z110)),Z110&lt;=0),0,IF(COUNTIFS($A$9:A110,A110,$B$9:B110,B110,$Z$9:Z110,"&gt;0")=1,1,0))</f>
        <v>0</v>
      </c>
      <c r="AE110">
        <f t="shared" si="41"/>
        <v>0</v>
      </c>
      <c r="AF110">
        <f t="shared" si="42"/>
        <v>0</v>
      </c>
      <c r="AG110" t="str">
        <f>IF(OR(AF110=0,AK110&lt;=0),"",IF(A110="Tsue","Retiro: ","Tanda: ")&amp;ROUND(AE110,3)&amp;" "&amp;F110&amp;". Acordar "&amp;INT(AE110/AK110)&amp;" o "&amp;ROUNDUP(AE110/AK110,0)&amp;IF(A110="Tsue"," envases de 5 L."," porciones de 500 g."))</f>
        <v/>
      </c>
      <c r="AH110">
        <f>IF(COUNTA(A110:E110,H110:I110,K110:L110,N110)=0,0,IF(OR(NOT(ISNUMBER(B110)),B110&lt;'Por semana'!$C$45,B110&gt;'Por semana'!$J$46+6),1,0))</f>
        <v>0</v>
      </c>
      <c r="AI110">
        <f t="shared" si="44"/>
        <v>0</v>
      </c>
      <c r="AJ110">
        <f t="shared" si="45"/>
        <v>0</v>
      </c>
      <c r="AK110">
        <f>IF(R110=0,0,IFERROR(INDEX(criterio!$J$11:$J$22,R110)+0,0))</f>
        <v>0</v>
      </c>
      <c r="AL110" t="str">
        <f t="shared" si="46"/>
        <v/>
      </c>
      <c r="AM110" t="str">
        <f t="shared" si="47"/>
        <v/>
      </c>
    </row>
    <row r="111" spans="1:39" ht="31" customHeight="1">
      <c r="A111" s="11"/>
      <c r="B111" s="19"/>
      <c r="C111" s="19"/>
      <c r="D111" s="19"/>
      <c r="E111" s="19"/>
      <c r="F111" s="10" t="str">
        <f>IF(R111=0,"",INDEX(criterio!$B$11:$B$22,R111))</f>
        <v/>
      </c>
      <c r="G111" s="4" t="str">
        <f>IFERROR(IF(INDEX(criterio!$B$31:$B$111,MATCH(W111,criterio!$A$31:$A$111,0))=A111,INDEX(criterio!$C$31:$C$111,MATCH(W111,criterio!$A$31:$A$111,0)),""),"")</f>
        <v/>
      </c>
      <c r="H111" s="5"/>
      <c r="I111" s="5"/>
      <c r="J111" s="29" t="str">
        <f t="shared" si="36"/>
        <v/>
      </c>
      <c r="K111" s="20"/>
      <c r="L111" s="21"/>
      <c r="M111" s="5"/>
      <c r="N111" s="5"/>
      <c r="O111" s="6" t="str">
        <f t="shared" si="37"/>
        <v/>
      </c>
      <c r="P111" s="10" t="str">
        <f>IFERROR(IF(AND(INDEX(criterio!$I$31:$I$111,MATCH(W111,criterio!$A$31:$A$111,0))=1,INDEX(criterio!$B$31:$B$111,MATCH(W111,criterio!$A$31:$A$111,0))=A111,ISNUMBER(B111),B111&gt;=criterio!$B$5,D111&lt;=criterio!$B$6,E111&gt;=criterio!$B$5),"Fuera de la previa del 20/12",""),"")</f>
        <v/>
      </c>
      <c r="Q111" s="22" t="str">
        <f t="shared" si="38"/>
        <v/>
      </c>
      <c r="R111">
        <f>IFERROR(MATCH(A111,criterio!$A$11:$A$22,0),0)</f>
        <v>0</v>
      </c>
      <c r="S111" t="str">
        <f>IF(R111=0,"",INDEX(criterio!$E$11:$E$22,R111))</f>
        <v/>
      </c>
      <c r="T111" t="str">
        <f>IF(R111=0,"",INDEX(criterio!$C$11:$C$22,R111))</f>
        <v/>
      </c>
      <c r="U111" t="str">
        <f>IF(R111=0,"",INDEX(criterio!$D$11:$D$22,R111))</f>
        <v/>
      </c>
      <c r="V111">
        <f>IF(AND(ISNUMBER(B111),B111=Turno!$B$3,OR(AL111="Preparar",AL111="Completar")),MAX($V$8:V110)+1,0)</f>
        <v>0</v>
      </c>
      <c r="Y111" t="str">
        <f>IF(R111=0,"",INDEX(criterio!$I$11:$I$22,R111))</f>
        <v/>
      </c>
      <c r="Z111" t="str">
        <f t="shared" si="39"/>
        <v/>
      </c>
      <c r="AA111" t="str">
        <f>IF(OR(A111="",COUNT(B111:C111)&lt;&gt;2),"",IF(OR(WEEKDAY(B111,2)&gt;5,COUNTIF(criterio!$B$25:$E$25,B111)&gt;0),"Cambiar día de elaboración",IF(OR(WEEKDAY(C111,2)&gt;5,COUNTIF(criterio!$B$25:$E$25,C111)&gt;0),"Cambiar día de retiro",IF(SUMIF($B$9:$B$128,B111,$AD$9:$AD$128)&gt;criterio!$D$26,"Más de dos recetas",IF(OR(A111="",NOT(ISNUMBER(B111))),"",IF(OR(NOT(ISNUMBER($Q$2)),NOT(ISNUMBER($Q$3)),$Q$2&lt;=0,$Q$3&lt;=0),"Revisar topes de carga",IF(SUMIFS($Z$9:$Z$128,$B$9:$B$128,B111,$F$9:$F$128,"kg")/$Q$2+SUMIFS($Z$9:$Z$128,$B$9:$B$128,B111,$F$9:$F$128,"L")/$Q$3&gt;1.000001,"Repartir carga del día","")))))))</f>
        <v/>
      </c>
      <c r="AB111" t="str">
        <f>IF(COUNTA(A111:E111,H111:I111,K111:N111)=0,"",IF(R111=0,"Elegir producto",IF(COUNT(B111:E111)&lt;&gt;4,"Completar fechas",IF(E111&lt;D111,"Revisar días de uso",IF(C111+criterio!$B$3&gt;D111,"El retiro llega tarde",IF(AND(N111&lt;&gt;"",OR(NOT(ISNUMBER(N111)),N111&lt;0)),"Revisar cantidad hecha",IF(AND(M111&lt;&gt;"",OR(NOT(ISNUMBER(M111)),M111&lt;0)),"Revisar cant. a adelantar",IF(AND(AND(ISBLANK(H111),L111="Adelanto"),NOT(ISNUMBER(AM111))),"Cargar cant. a adelantar",IF(AND(AND(ISBLANK(H111),L111="Adelanto"),I111&lt;&gt;"",OR(NOT(ISNUMBER(I111)),I111&lt;&gt;0)),"Revisar stock del adelanto",IF(AND(ISNUMBER(N111),N111&gt;0,L111&lt;&gt;"Sí",L111&lt;&gt;"Adelanto",N(M111)&lt;=0),"Hecho sin liberar",IF(AND(ISBLANK(H111),L111&lt;&gt;"Adelanto",OR(I111&lt;&gt;"",L111="Sí")),"Falta pedido real",IF(AND(H111&lt;&gt;"",OR(NOT(ISNUMBER(H111)),H111&lt;0)),"Revisar pedido",IF(AND(ISNUMBER(H111),H111=0,N(M111)&gt;0,N(N111)&gt;0,N(I111)=0),"Reasignar sobrante",IF(AND(ISNUMBER(H111),H111=0,OR(N111&gt;0,I111&gt;0)),"Revisar pedido y cantidades",IF(AND(ISNUMBER(H111),H111=0),"Sin pedido",IF(AND(ISNUMBER(H111),ISBLANK(I111)),"Falta anotar stock",IF(AND(I111&lt;&gt;"",OR(NOT(ISNUMBER(I111)),I111&lt;0,AND(ISNUMBER(H111),I111&gt;H111))),"Revisar stock asignado",IF(AND(ISNUMBER(I111),I111&gt;0,NOT(ISNUMBER(K111))),"Falta vencimiento de stock",IF(AND(ISNUMBER(I111),I111&gt;0,K111&lt;E111+criterio!$B$4),"El stock no cubre el uso",IF(AND(ISNUMBER(H111),ISNUMBER(I111),H111=I111,OR(N111="",N111=0)),"Cubierto con stock",IF(B111=criterio!$B$25,"Jornada bloqueada",IF(B111+S111&gt;C111,"No llega al retiro",IF(Q111&lt;E111,"Vence antes del último uso",IF(Q111&lt;E111+criterio!$B$4,"Falta margen de vida útil",IF(AND(ISBLANK(H111),L111&lt;&gt;"Adelanto",N(N111)&gt;0,N(M111)&gt;0),"Adelanto en pausa",IF(NOT(ISNUMBER(AM111)),"Previsión",IF(AND(ISNUMBER(H111),N(M111)&gt;0,N(N111)&gt;ROUND(H111-N(I111),3)),"Reasignar sobrante",IF(AND(ISNUMBER(N111),N111&gt;ROUND(AM111-N(I111),3)),"Revisar excedente",IF(AND(ISNUMBER(H111),L111&lt;&gt;"Sí",NOT(AND(N(M111)&gt;0,J111=0))),"Por confirmar",IF(J111=0,"Hecho",IF(AND(ISNUMBER(N111),N111&gt;0),"Completar","Preparar")))))))))))))))))))))))))))))))</f>
        <v/>
      </c>
      <c r="AC111">
        <f t="shared" si="40"/>
        <v>0</v>
      </c>
      <c r="AD111">
        <f>IF(OR(NOT(ISNUMBER(B111)),A111="",NOT(ISNUMBER(Z111)),Z111&lt;=0),0,IF(COUNTIFS($A$9:A111,A111,$B$9:B111,B111,$Z$9:Z111,"&gt;0")=1,1,0))</f>
        <v>0</v>
      </c>
      <c r="AE111">
        <f t="shared" si="41"/>
        <v>0</v>
      </c>
      <c r="AF111">
        <f t="shared" si="42"/>
        <v>0</v>
      </c>
      <c r="AG111" t="str">
        <f>IF(OR(AF111=0,AK111&lt;=0),"",IF(A111="Tsue","Retiro: ","Tanda: ")&amp;ROUND(AE111,3)&amp;" "&amp;F111&amp;". Acordar "&amp;INT(AE111/AK111)&amp;" o "&amp;ROUNDUP(AE111/AK111,0)&amp;IF(A111="Tsue"," envases de 5 L."," porciones de 500 g."))</f>
        <v/>
      </c>
      <c r="AH111">
        <f>IF(COUNTA(A111:E111,H111:I111,K111:L111,N111)=0,0,IF(OR(NOT(ISNUMBER(B111)),B111&lt;'Por semana'!$C$45,B111&gt;'Por semana'!$J$46+6),1,0))</f>
        <v>0</v>
      </c>
      <c r="AI111">
        <f t="shared" si="44"/>
        <v>0</v>
      </c>
      <c r="AJ111">
        <f t="shared" si="45"/>
        <v>0</v>
      </c>
      <c r="AK111">
        <f>IF(R111=0,0,IFERROR(INDEX(criterio!$J$11:$J$22,R111)+0,0))</f>
        <v>0</v>
      </c>
      <c r="AL111" t="str">
        <f t="shared" si="46"/>
        <v/>
      </c>
      <c r="AM111" t="str">
        <f t="shared" si="47"/>
        <v/>
      </c>
    </row>
    <row r="112" spans="1:39" ht="31" customHeight="1">
      <c r="A112" s="11"/>
      <c r="B112" s="19"/>
      <c r="C112" s="19"/>
      <c r="D112" s="19"/>
      <c r="E112" s="19"/>
      <c r="F112" s="10" t="str">
        <f>IF(R112=0,"",INDEX(criterio!$B$11:$B$22,R112))</f>
        <v/>
      </c>
      <c r="G112" s="4" t="str">
        <f>IFERROR(IF(INDEX(criterio!$B$31:$B$111,MATCH(W112,criterio!$A$31:$A$111,0))=A112,INDEX(criterio!$C$31:$C$111,MATCH(W112,criterio!$A$31:$A$111,0)),""),"")</f>
        <v/>
      </c>
      <c r="H112" s="5"/>
      <c r="I112" s="5"/>
      <c r="J112" s="29" t="str">
        <f t="shared" si="36"/>
        <v/>
      </c>
      <c r="K112" s="20"/>
      <c r="L112" s="21"/>
      <c r="M112" s="5"/>
      <c r="N112" s="5"/>
      <c r="O112" s="6" t="str">
        <f t="shared" si="37"/>
        <v/>
      </c>
      <c r="P112" s="10" t="str">
        <f>IFERROR(IF(AND(INDEX(criterio!$I$31:$I$111,MATCH(W112,criterio!$A$31:$A$111,0))=1,INDEX(criterio!$B$31:$B$111,MATCH(W112,criterio!$A$31:$A$111,0))=A112,ISNUMBER(B112),B112&gt;=criterio!$B$5,D112&lt;=criterio!$B$6,E112&gt;=criterio!$B$5),"Fuera de la previa del 20/12",""),"")</f>
        <v/>
      </c>
      <c r="Q112" s="22" t="str">
        <f t="shared" si="38"/>
        <v/>
      </c>
      <c r="R112">
        <f>IFERROR(MATCH(A112,criterio!$A$11:$A$22,0),0)</f>
        <v>0</v>
      </c>
      <c r="S112" t="str">
        <f>IF(R112=0,"",INDEX(criterio!$E$11:$E$22,R112))</f>
        <v/>
      </c>
      <c r="T112" t="str">
        <f>IF(R112=0,"",INDEX(criterio!$C$11:$C$22,R112))</f>
        <v/>
      </c>
      <c r="U112" t="str">
        <f>IF(R112=0,"",INDEX(criterio!$D$11:$D$22,R112))</f>
        <v/>
      </c>
      <c r="V112">
        <f>IF(AND(ISNUMBER(B112),B112=Turno!$B$3,OR(AL112="Preparar",AL112="Completar")),MAX($V$8:V111)+1,0)</f>
        <v>0</v>
      </c>
      <c r="Y112" t="str">
        <f>IF(R112=0,"",INDEX(criterio!$I$11:$I$22,R112))</f>
        <v/>
      </c>
      <c r="Z112" t="str">
        <f t="shared" si="39"/>
        <v/>
      </c>
      <c r="AA112" t="str">
        <f>IF(OR(A112="",COUNT(B112:C112)&lt;&gt;2),"",IF(OR(WEEKDAY(B112,2)&gt;5,COUNTIF(criterio!$B$25:$E$25,B112)&gt;0),"Cambiar día de elaboración",IF(OR(WEEKDAY(C112,2)&gt;5,COUNTIF(criterio!$B$25:$E$25,C112)&gt;0),"Cambiar día de retiro",IF(SUMIF($B$9:$B$128,B112,$AD$9:$AD$128)&gt;criterio!$D$26,"Más de dos recetas",IF(OR(A112="",NOT(ISNUMBER(B112))),"",IF(OR(NOT(ISNUMBER($Q$2)),NOT(ISNUMBER($Q$3)),$Q$2&lt;=0,$Q$3&lt;=0),"Revisar topes de carga",IF(SUMIFS($Z$9:$Z$128,$B$9:$B$128,B112,$F$9:$F$128,"kg")/$Q$2+SUMIFS($Z$9:$Z$128,$B$9:$B$128,B112,$F$9:$F$128,"L")/$Q$3&gt;1.000001,"Repartir carga del día","")))))))</f>
        <v/>
      </c>
      <c r="AB112" t="str">
        <f>IF(COUNTA(A112:E112,H112:I112,K112:N112)=0,"",IF(R112=0,"Elegir producto",IF(COUNT(B112:E112)&lt;&gt;4,"Completar fechas",IF(E112&lt;D112,"Revisar días de uso",IF(C112+criterio!$B$3&gt;D112,"El retiro llega tarde",IF(AND(N112&lt;&gt;"",OR(NOT(ISNUMBER(N112)),N112&lt;0)),"Revisar cantidad hecha",IF(AND(M112&lt;&gt;"",OR(NOT(ISNUMBER(M112)),M112&lt;0)),"Revisar cant. a adelantar",IF(AND(AND(ISBLANK(H112),L112="Adelanto"),NOT(ISNUMBER(AM112))),"Cargar cant. a adelantar",IF(AND(AND(ISBLANK(H112),L112="Adelanto"),I112&lt;&gt;"",OR(NOT(ISNUMBER(I112)),I112&lt;&gt;0)),"Revisar stock del adelanto",IF(AND(ISNUMBER(N112),N112&gt;0,L112&lt;&gt;"Sí",L112&lt;&gt;"Adelanto",N(M112)&lt;=0),"Hecho sin liberar",IF(AND(ISBLANK(H112),L112&lt;&gt;"Adelanto",OR(I112&lt;&gt;"",L112="Sí")),"Falta pedido real",IF(AND(H112&lt;&gt;"",OR(NOT(ISNUMBER(H112)),H112&lt;0)),"Revisar pedido",IF(AND(ISNUMBER(H112),H112=0,N(M112)&gt;0,N(N112)&gt;0,N(I112)=0),"Reasignar sobrante",IF(AND(ISNUMBER(H112),H112=0,OR(N112&gt;0,I112&gt;0)),"Revisar pedido y cantidades",IF(AND(ISNUMBER(H112),H112=0),"Sin pedido",IF(AND(ISNUMBER(H112),ISBLANK(I112)),"Falta anotar stock",IF(AND(I112&lt;&gt;"",OR(NOT(ISNUMBER(I112)),I112&lt;0,AND(ISNUMBER(H112),I112&gt;H112))),"Revisar stock asignado",IF(AND(ISNUMBER(I112),I112&gt;0,NOT(ISNUMBER(K112))),"Falta vencimiento de stock",IF(AND(ISNUMBER(I112),I112&gt;0,K112&lt;E112+criterio!$B$4),"El stock no cubre el uso",IF(AND(ISNUMBER(H112),ISNUMBER(I112),H112=I112,OR(N112="",N112=0)),"Cubierto con stock",IF(B112=criterio!$B$25,"Jornada bloqueada",IF(B112+S112&gt;C112,"No llega al retiro",IF(Q112&lt;E112,"Vence antes del último uso",IF(Q112&lt;E112+criterio!$B$4,"Falta margen de vida útil",IF(AND(ISBLANK(H112),L112&lt;&gt;"Adelanto",N(N112)&gt;0,N(M112)&gt;0),"Adelanto en pausa",IF(NOT(ISNUMBER(AM112)),"Previsión",IF(AND(ISNUMBER(H112),N(M112)&gt;0,N(N112)&gt;ROUND(H112-N(I112),3)),"Reasignar sobrante",IF(AND(ISNUMBER(N112),N112&gt;ROUND(AM112-N(I112),3)),"Revisar excedente",IF(AND(ISNUMBER(H112),L112&lt;&gt;"Sí",NOT(AND(N(M112)&gt;0,J112=0))),"Por confirmar",IF(J112=0,"Hecho",IF(AND(ISNUMBER(N112),N112&gt;0),"Completar","Preparar")))))))))))))))))))))))))))))))</f>
        <v/>
      </c>
      <c r="AC112">
        <f t="shared" si="40"/>
        <v>0</v>
      </c>
      <c r="AD112">
        <f>IF(OR(NOT(ISNUMBER(B112)),A112="",NOT(ISNUMBER(Z112)),Z112&lt;=0),0,IF(COUNTIFS($A$9:A112,A112,$B$9:B112,B112,$Z$9:Z112,"&gt;0")=1,1,0))</f>
        <v>0</v>
      </c>
      <c r="AE112">
        <f t="shared" si="41"/>
        <v>0</v>
      </c>
      <c r="AF112">
        <f t="shared" si="42"/>
        <v>0</v>
      </c>
      <c r="AG112" t="str">
        <f>IF(OR(AF112=0,AK112&lt;=0),"",IF(A112="Tsue","Retiro: ","Tanda: ")&amp;ROUND(AE112,3)&amp;" "&amp;F112&amp;". Acordar "&amp;INT(AE112/AK112)&amp;" o "&amp;ROUNDUP(AE112/AK112,0)&amp;IF(A112="Tsue"," envases de 5 L."," porciones de 500 g."))</f>
        <v/>
      </c>
      <c r="AH112">
        <f>IF(COUNTA(A112:E112,H112:I112,K112:L112,N112)=0,0,IF(OR(NOT(ISNUMBER(B112)),B112&lt;'Por semana'!$C$45,B112&gt;'Por semana'!$J$46+6),1,0))</f>
        <v>0</v>
      </c>
      <c r="AI112">
        <f t="shared" si="44"/>
        <v>0</v>
      </c>
      <c r="AJ112">
        <f t="shared" si="45"/>
        <v>0</v>
      </c>
      <c r="AK112">
        <f>IF(R112=0,0,IFERROR(INDEX(criterio!$J$11:$J$22,R112)+0,0))</f>
        <v>0</v>
      </c>
      <c r="AL112" t="str">
        <f t="shared" si="46"/>
        <v/>
      </c>
      <c r="AM112" t="str">
        <f t="shared" si="47"/>
        <v/>
      </c>
    </row>
    <row r="113" spans="1:39" ht="31" customHeight="1">
      <c r="A113" s="11"/>
      <c r="B113" s="19"/>
      <c r="C113" s="19"/>
      <c r="D113" s="19"/>
      <c r="E113" s="19"/>
      <c r="F113" s="10" t="str">
        <f>IF(R113=0,"",INDEX(criterio!$B$11:$B$22,R113))</f>
        <v/>
      </c>
      <c r="G113" s="4" t="str">
        <f>IFERROR(IF(INDEX(criterio!$B$31:$B$111,MATCH(W113,criterio!$A$31:$A$111,0))=A113,INDEX(criterio!$C$31:$C$111,MATCH(W113,criterio!$A$31:$A$111,0)),""),"")</f>
        <v/>
      </c>
      <c r="H113" s="5"/>
      <c r="I113" s="5"/>
      <c r="J113" s="29" t="str">
        <f t="shared" si="36"/>
        <v/>
      </c>
      <c r="K113" s="20"/>
      <c r="L113" s="21"/>
      <c r="M113" s="5"/>
      <c r="N113" s="5"/>
      <c r="O113" s="6" t="str">
        <f t="shared" si="37"/>
        <v/>
      </c>
      <c r="P113" s="10" t="str">
        <f>IFERROR(IF(AND(INDEX(criterio!$I$31:$I$111,MATCH(W113,criterio!$A$31:$A$111,0))=1,INDEX(criterio!$B$31:$B$111,MATCH(W113,criterio!$A$31:$A$111,0))=A113,ISNUMBER(B113),B113&gt;=criterio!$B$5,D113&lt;=criterio!$B$6,E113&gt;=criterio!$B$5),"Fuera de la previa del 20/12",""),"")</f>
        <v/>
      </c>
      <c r="Q113" s="22" t="str">
        <f t="shared" si="38"/>
        <v/>
      </c>
      <c r="R113">
        <f>IFERROR(MATCH(A113,criterio!$A$11:$A$22,0),0)</f>
        <v>0</v>
      </c>
      <c r="S113" t="str">
        <f>IF(R113=0,"",INDEX(criterio!$E$11:$E$22,R113))</f>
        <v/>
      </c>
      <c r="T113" t="str">
        <f>IF(R113=0,"",INDEX(criterio!$C$11:$C$22,R113))</f>
        <v/>
      </c>
      <c r="U113" t="str">
        <f>IF(R113=0,"",INDEX(criterio!$D$11:$D$22,R113))</f>
        <v/>
      </c>
      <c r="V113">
        <f>IF(AND(ISNUMBER(B113),B113=Turno!$B$3,OR(AL113="Preparar",AL113="Completar")),MAX($V$8:V112)+1,0)</f>
        <v>0</v>
      </c>
      <c r="Y113" t="str">
        <f>IF(R113=0,"",INDEX(criterio!$I$11:$I$22,R113))</f>
        <v/>
      </c>
      <c r="Z113" t="str">
        <f t="shared" si="39"/>
        <v/>
      </c>
      <c r="AA113" t="str">
        <f>IF(OR(A113="",COUNT(B113:C113)&lt;&gt;2),"",IF(OR(WEEKDAY(B113,2)&gt;5,COUNTIF(criterio!$B$25:$E$25,B113)&gt;0),"Cambiar día de elaboración",IF(OR(WEEKDAY(C113,2)&gt;5,COUNTIF(criterio!$B$25:$E$25,C113)&gt;0),"Cambiar día de retiro",IF(SUMIF($B$9:$B$128,B113,$AD$9:$AD$128)&gt;criterio!$D$26,"Más de dos recetas",IF(OR(A113="",NOT(ISNUMBER(B113))),"",IF(OR(NOT(ISNUMBER($Q$2)),NOT(ISNUMBER($Q$3)),$Q$2&lt;=0,$Q$3&lt;=0),"Revisar topes de carga",IF(SUMIFS($Z$9:$Z$128,$B$9:$B$128,B113,$F$9:$F$128,"kg")/$Q$2+SUMIFS($Z$9:$Z$128,$B$9:$B$128,B113,$F$9:$F$128,"L")/$Q$3&gt;1.000001,"Repartir carga del día","")))))))</f>
        <v/>
      </c>
      <c r="AB113" t="str">
        <f>IF(COUNTA(A113:E113,H113:I113,K113:N113)=0,"",IF(R113=0,"Elegir producto",IF(COUNT(B113:E113)&lt;&gt;4,"Completar fechas",IF(E113&lt;D113,"Revisar días de uso",IF(C113+criterio!$B$3&gt;D113,"El retiro llega tarde",IF(AND(N113&lt;&gt;"",OR(NOT(ISNUMBER(N113)),N113&lt;0)),"Revisar cantidad hecha",IF(AND(M113&lt;&gt;"",OR(NOT(ISNUMBER(M113)),M113&lt;0)),"Revisar cant. a adelantar",IF(AND(AND(ISBLANK(H113),L113="Adelanto"),NOT(ISNUMBER(AM113))),"Cargar cant. a adelantar",IF(AND(AND(ISBLANK(H113),L113="Adelanto"),I113&lt;&gt;"",OR(NOT(ISNUMBER(I113)),I113&lt;&gt;0)),"Revisar stock del adelanto",IF(AND(ISNUMBER(N113),N113&gt;0,L113&lt;&gt;"Sí",L113&lt;&gt;"Adelanto",N(M113)&lt;=0),"Hecho sin liberar",IF(AND(ISBLANK(H113),L113&lt;&gt;"Adelanto",OR(I113&lt;&gt;"",L113="Sí")),"Falta pedido real",IF(AND(H113&lt;&gt;"",OR(NOT(ISNUMBER(H113)),H113&lt;0)),"Revisar pedido",IF(AND(ISNUMBER(H113),H113=0,N(M113)&gt;0,N(N113)&gt;0,N(I113)=0),"Reasignar sobrante",IF(AND(ISNUMBER(H113),H113=0,OR(N113&gt;0,I113&gt;0)),"Revisar pedido y cantidades",IF(AND(ISNUMBER(H113),H113=0),"Sin pedido",IF(AND(ISNUMBER(H113),ISBLANK(I113)),"Falta anotar stock",IF(AND(I113&lt;&gt;"",OR(NOT(ISNUMBER(I113)),I113&lt;0,AND(ISNUMBER(H113),I113&gt;H113))),"Revisar stock asignado",IF(AND(ISNUMBER(I113),I113&gt;0,NOT(ISNUMBER(K113))),"Falta vencimiento de stock",IF(AND(ISNUMBER(I113),I113&gt;0,K113&lt;E113+criterio!$B$4),"El stock no cubre el uso",IF(AND(ISNUMBER(H113),ISNUMBER(I113),H113=I113,OR(N113="",N113=0)),"Cubierto con stock",IF(B113=criterio!$B$25,"Jornada bloqueada",IF(B113+S113&gt;C113,"No llega al retiro",IF(Q113&lt;E113,"Vence antes del último uso",IF(Q113&lt;E113+criterio!$B$4,"Falta margen de vida útil",IF(AND(ISBLANK(H113),L113&lt;&gt;"Adelanto",N(N113)&gt;0,N(M113)&gt;0),"Adelanto en pausa",IF(NOT(ISNUMBER(AM113)),"Previsión",IF(AND(ISNUMBER(H113),N(M113)&gt;0,N(N113)&gt;ROUND(H113-N(I113),3)),"Reasignar sobrante",IF(AND(ISNUMBER(N113),N113&gt;ROUND(AM113-N(I113),3)),"Revisar excedente",IF(AND(ISNUMBER(H113),L113&lt;&gt;"Sí",NOT(AND(N(M113)&gt;0,J113=0))),"Por confirmar",IF(J113=0,"Hecho",IF(AND(ISNUMBER(N113),N113&gt;0),"Completar","Preparar")))))))))))))))))))))))))))))))</f>
        <v/>
      </c>
      <c r="AC113">
        <f t="shared" si="40"/>
        <v>0</v>
      </c>
      <c r="AD113">
        <f>IF(OR(NOT(ISNUMBER(B113)),A113="",NOT(ISNUMBER(Z113)),Z113&lt;=0),0,IF(COUNTIFS($A$9:A113,A113,$B$9:B113,B113,$Z$9:Z113,"&gt;0")=1,1,0))</f>
        <v>0</v>
      </c>
      <c r="AE113">
        <f t="shared" si="41"/>
        <v>0</v>
      </c>
      <c r="AF113">
        <f t="shared" si="42"/>
        <v>0</v>
      </c>
      <c r="AG113" t="str">
        <f>IF(OR(AF113=0,AK113&lt;=0),"",IF(A113="Tsue","Retiro: ","Tanda: ")&amp;ROUND(AE113,3)&amp;" "&amp;F113&amp;". Acordar "&amp;INT(AE113/AK113)&amp;" o "&amp;ROUNDUP(AE113/AK113,0)&amp;IF(A113="Tsue"," envases de 5 L."," porciones de 500 g."))</f>
        <v/>
      </c>
      <c r="AH113">
        <f>IF(COUNTA(A113:E113,H113:I113,K113:L113,N113)=0,0,IF(OR(NOT(ISNUMBER(B113)),B113&lt;'Por semana'!$C$45,B113&gt;'Por semana'!$J$46+6),1,0))</f>
        <v>0</v>
      </c>
      <c r="AI113">
        <f t="shared" si="44"/>
        <v>0</v>
      </c>
      <c r="AJ113">
        <f t="shared" si="45"/>
        <v>0</v>
      </c>
      <c r="AK113">
        <f>IF(R113=0,0,IFERROR(INDEX(criterio!$J$11:$J$22,R113)+0,0))</f>
        <v>0</v>
      </c>
      <c r="AL113" t="str">
        <f t="shared" si="46"/>
        <v/>
      </c>
      <c r="AM113" t="str">
        <f t="shared" si="47"/>
        <v/>
      </c>
    </row>
    <row r="114" spans="1:39" ht="31" customHeight="1">
      <c r="A114" s="11"/>
      <c r="B114" s="19"/>
      <c r="C114" s="19"/>
      <c r="D114" s="19"/>
      <c r="E114" s="19"/>
      <c r="F114" s="10" t="str">
        <f>IF(R114=0,"",INDEX(criterio!$B$11:$B$22,R114))</f>
        <v/>
      </c>
      <c r="G114" s="4" t="str">
        <f>IFERROR(IF(INDEX(criterio!$B$31:$B$111,MATCH(W114,criterio!$A$31:$A$111,0))=A114,INDEX(criterio!$C$31:$C$111,MATCH(W114,criterio!$A$31:$A$111,0)),""),"")</f>
        <v/>
      </c>
      <c r="H114" s="5"/>
      <c r="I114" s="5"/>
      <c r="J114" s="29" t="str">
        <f t="shared" si="36"/>
        <v/>
      </c>
      <c r="K114" s="20"/>
      <c r="L114" s="21"/>
      <c r="M114" s="5"/>
      <c r="N114" s="5"/>
      <c r="O114" s="6" t="str">
        <f t="shared" si="37"/>
        <v/>
      </c>
      <c r="P114" s="10" t="str">
        <f>IFERROR(IF(AND(INDEX(criterio!$I$31:$I$111,MATCH(W114,criterio!$A$31:$A$111,0))=1,INDEX(criterio!$B$31:$B$111,MATCH(W114,criterio!$A$31:$A$111,0))=A114,ISNUMBER(B114),B114&gt;=criterio!$B$5,D114&lt;=criterio!$B$6,E114&gt;=criterio!$B$5),"Fuera de la previa del 20/12",""),"")</f>
        <v/>
      </c>
      <c r="Q114" s="22" t="str">
        <f t="shared" si="38"/>
        <v/>
      </c>
      <c r="R114">
        <f>IFERROR(MATCH(A114,criterio!$A$11:$A$22,0),0)</f>
        <v>0</v>
      </c>
      <c r="S114" t="str">
        <f>IF(R114=0,"",INDEX(criterio!$E$11:$E$22,R114))</f>
        <v/>
      </c>
      <c r="T114" t="str">
        <f>IF(R114=0,"",INDEX(criterio!$C$11:$C$22,R114))</f>
        <v/>
      </c>
      <c r="U114" t="str">
        <f>IF(R114=0,"",INDEX(criterio!$D$11:$D$22,R114))</f>
        <v/>
      </c>
      <c r="V114">
        <f>IF(AND(ISNUMBER(B114),B114=Turno!$B$3,OR(AL114="Preparar",AL114="Completar")),MAX($V$8:V113)+1,0)</f>
        <v>0</v>
      </c>
      <c r="Y114" t="str">
        <f>IF(R114=0,"",INDEX(criterio!$I$11:$I$22,R114))</f>
        <v/>
      </c>
      <c r="Z114" t="str">
        <f t="shared" si="39"/>
        <v/>
      </c>
      <c r="AA114" t="str">
        <f>IF(OR(A114="",COUNT(B114:C114)&lt;&gt;2),"",IF(OR(WEEKDAY(B114,2)&gt;5,COUNTIF(criterio!$B$25:$E$25,B114)&gt;0),"Cambiar día de elaboración",IF(OR(WEEKDAY(C114,2)&gt;5,COUNTIF(criterio!$B$25:$E$25,C114)&gt;0),"Cambiar día de retiro",IF(SUMIF($B$9:$B$128,B114,$AD$9:$AD$128)&gt;criterio!$D$26,"Más de dos recetas",IF(OR(A114="",NOT(ISNUMBER(B114))),"",IF(OR(NOT(ISNUMBER($Q$2)),NOT(ISNUMBER($Q$3)),$Q$2&lt;=0,$Q$3&lt;=0),"Revisar topes de carga",IF(SUMIFS($Z$9:$Z$128,$B$9:$B$128,B114,$F$9:$F$128,"kg")/$Q$2+SUMIFS($Z$9:$Z$128,$B$9:$B$128,B114,$F$9:$F$128,"L")/$Q$3&gt;1.000001,"Repartir carga del día","")))))))</f>
        <v/>
      </c>
      <c r="AB114" t="str">
        <f>IF(COUNTA(A114:E114,H114:I114,K114:N114)=0,"",IF(R114=0,"Elegir producto",IF(COUNT(B114:E114)&lt;&gt;4,"Completar fechas",IF(E114&lt;D114,"Revisar días de uso",IF(C114+criterio!$B$3&gt;D114,"El retiro llega tarde",IF(AND(N114&lt;&gt;"",OR(NOT(ISNUMBER(N114)),N114&lt;0)),"Revisar cantidad hecha",IF(AND(M114&lt;&gt;"",OR(NOT(ISNUMBER(M114)),M114&lt;0)),"Revisar cant. a adelantar",IF(AND(AND(ISBLANK(H114),L114="Adelanto"),NOT(ISNUMBER(AM114))),"Cargar cant. a adelantar",IF(AND(AND(ISBLANK(H114),L114="Adelanto"),I114&lt;&gt;"",OR(NOT(ISNUMBER(I114)),I114&lt;&gt;0)),"Revisar stock del adelanto",IF(AND(ISNUMBER(N114),N114&gt;0,L114&lt;&gt;"Sí",L114&lt;&gt;"Adelanto",N(M114)&lt;=0),"Hecho sin liberar",IF(AND(ISBLANK(H114),L114&lt;&gt;"Adelanto",OR(I114&lt;&gt;"",L114="Sí")),"Falta pedido real",IF(AND(H114&lt;&gt;"",OR(NOT(ISNUMBER(H114)),H114&lt;0)),"Revisar pedido",IF(AND(ISNUMBER(H114),H114=0,N(M114)&gt;0,N(N114)&gt;0,N(I114)=0),"Reasignar sobrante",IF(AND(ISNUMBER(H114),H114=0,OR(N114&gt;0,I114&gt;0)),"Revisar pedido y cantidades",IF(AND(ISNUMBER(H114),H114=0),"Sin pedido",IF(AND(ISNUMBER(H114),ISBLANK(I114)),"Falta anotar stock",IF(AND(I114&lt;&gt;"",OR(NOT(ISNUMBER(I114)),I114&lt;0,AND(ISNUMBER(H114),I114&gt;H114))),"Revisar stock asignado",IF(AND(ISNUMBER(I114),I114&gt;0,NOT(ISNUMBER(K114))),"Falta vencimiento de stock",IF(AND(ISNUMBER(I114),I114&gt;0,K114&lt;E114+criterio!$B$4),"El stock no cubre el uso",IF(AND(ISNUMBER(H114),ISNUMBER(I114),H114=I114,OR(N114="",N114=0)),"Cubierto con stock",IF(B114=criterio!$B$25,"Jornada bloqueada",IF(B114+S114&gt;C114,"No llega al retiro",IF(Q114&lt;E114,"Vence antes del último uso",IF(Q114&lt;E114+criterio!$B$4,"Falta margen de vida útil",IF(AND(ISBLANK(H114),L114&lt;&gt;"Adelanto",N(N114)&gt;0,N(M114)&gt;0),"Adelanto en pausa",IF(NOT(ISNUMBER(AM114)),"Previsión",IF(AND(ISNUMBER(H114),N(M114)&gt;0,N(N114)&gt;ROUND(H114-N(I114),3)),"Reasignar sobrante",IF(AND(ISNUMBER(N114),N114&gt;ROUND(AM114-N(I114),3)),"Revisar excedente",IF(AND(ISNUMBER(H114),L114&lt;&gt;"Sí",NOT(AND(N(M114)&gt;0,J114=0))),"Por confirmar",IF(J114=0,"Hecho",IF(AND(ISNUMBER(N114),N114&gt;0),"Completar","Preparar")))))))))))))))))))))))))))))))</f>
        <v/>
      </c>
      <c r="AC114">
        <f t="shared" si="40"/>
        <v>0</v>
      </c>
      <c r="AD114">
        <f>IF(OR(NOT(ISNUMBER(B114)),A114="",NOT(ISNUMBER(Z114)),Z114&lt;=0),0,IF(COUNTIFS($A$9:A114,A114,$B$9:B114,B114,$Z$9:Z114,"&gt;0")=1,1,0))</f>
        <v>0</v>
      </c>
      <c r="AE114">
        <f t="shared" si="41"/>
        <v>0</v>
      </c>
      <c r="AF114">
        <f t="shared" si="42"/>
        <v>0</v>
      </c>
      <c r="AG114" t="str">
        <f>IF(OR(AF114=0,AK114&lt;=0),"",IF(A114="Tsue","Retiro: ","Tanda: ")&amp;ROUND(AE114,3)&amp;" "&amp;F114&amp;". Acordar "&amp;INT(AE114/AK114)&amp;" o "&amp;ROUNDUP(AE114/AK114,0)&amp;IF(A114="Tsue"," envases de 5 L."," porciones de 500 g."))</f>
        <v/>
      </c>
      <c r="AH114">
        <f>IF(COUNTA(A114:E114,H114:I114,K114:L114,N114)=0,0,IF(OR(NOT(ISNUMBER(B114)),B114&lt;'Por semana'!$C$45,B114&gt;'Por semana'!$J$46+6),1,0))</f>
        <v>0</v>
      </c>
      <c r="AI114">
        <f t="shared" si="44"/>
        <v>0</v>
      </c>
      <c r="AJ114">
        <f t="shared" si="45"/>
        <v>0</v>
      </c>
      <c r="AK114">
        <f>IF(R114=0,0,IFERROR(INDEX(criterio!$J$11:$J$22,R114)+0,0))</f>
        <v>0</v>
      </c>
      <c r="AL114" t="str">
        <f t="shared" si="46"/>
        <v/>
      </c>
      <c r="AM114" t="str">
        <f t="shared" si="47"/>
        <v/>
      </c>
    </row>
    <row r="115" spans="1:39" ht="31" customHeight="1">
      <c r="A115" s="11"/>
      <c r="B115" s="19"/>
      <c r="C115" s="19"/>
      <c r="D115" s="19"/>
      <c r="E115" s="19"/>
      <c r="F115" s="10" t="str">
        <f>IF(R115=0,"",INDEX(criterio!$B$11:$B$22,R115))</f>
        <v/>
      </c>
      <c r="G115" s="4" t="str">
        <f>IFERROR(IF(INDEX(criterio!$B$31:$B$111,MATCH(W115,criterio!$A$31:$A$111,0))=A115,INDEX(criterio!$C$31:$C$111,MATCH(W115,criterio!$A$31:$A$111,0)),""),"")</f>
        <v/>
      </c>
      <c r="H115" s="5"/>
      <c r="I115" s="5"/>
      <c r="J115" s="29" t="str">
        <f t="shared" si="36"/>
        <v/>
      </c>
      <c r="K115" s="20"/>
      <c r="L115" s="21"/>
      <c r="M115" s="5"/>
      <c r="N115" s="5"/>
      <c r="O115" s="6" t="str">
        <f t="shared" si="37"/>
        <v/>
      </c>
      <c r="P115" s="10" t="str">
        <f>IFERROR(IF(AND(INDEX(criterio!$I$31:$I$111,MATCH(W115,criterio!$A$31:$A$111,0))=1,INDEX(criterio!$B$31:$B$111,MATCH(W115,criterio!$A$31:$A$111,0))=A115,ISNUMBER(B115),B115&gt;=criterio!$B$5,D115&lt;=criterio!$B$6,E115&gt;=criterio!$B$5),"Fuera de la previa del 20/12",""),"")</f>
        <v/>
      </c>
      <c r="Q115" s="22" t="str">
        <f t="shared" si="38"/>
        <v/>
      </c>
      <c r="R115">
        <f>IFERROR(MATCH(A115,criterio!$A$11:$A$22,0),0)</f>
        <v>0</v>
      </c>
      <c r="S115" t="str">
        <f>IF(R115=0,"",INDEX(criterio!$E$11:$E$22,R115))</f>
        <v/>
      </c>
      <c r="T115" t="str">
        <f>IF(R115=0,"",INDEX(criterio!$C$11:$C$22,R115))</f>
        <v/>
      </c>
      <c r="U115" t="str">
        <f>IF(R115=0,"",INDEX(criterio!$D$11:$D$22,R115))</f>
        <v/>
      </c>
      <c r="V115">
        <f>IF(AND(ISNUMBER(B115),B115=Turno!$B$3,OR(AL115="Preparar",AL115="Completar")),MAX($V$8:V114)+1,0)</f>
        <v>0</v>
      </c>
      <c r="Y115" t="str">
        <f>IF(R115=0,"",INDEX(criterio!$I$11:$I$22,R115))</f>
        <v/>
      </c>
      <c r="Z115" t="str">
        <f t="shared" si="39"/>
        <v/>
      </c>
      <c r="AA115" t="str">
        <f>IF(OR(A115="",COUNT(B115:C115)&lt;&gt;2),"",IF(OR(WEEKDAY(B115,2)&gt;5,COUNTIF(criterio!$B$25:$E$25,B115)&gt;0),"Cambiar día de elaboración",IF(OR(WEEKDAY(C115,2)&gt;5,COUNTIF(criterio!$B$25:$E$25,C115)&gt;0),"Cambiar día de retiro",IF(SUMIF($B$9:$B$128,B115,$AD$9:$AD$128)&gt;criterio!$D$26,"Más de dos recetas",IF(OR(A115="",NOT(ISNUMBER(B115))),"",IF(OR(NOT(ISNUMBER($Q$2)),NOT(ISNUMBER($Q$3)),$Q$2&lt;=0,$Q$3&lt;=0),"Revisar topes de carga",IF(SUMIFS($Z$9:$Z$128,$B$9:$B$128,B115,$F$9:$F$128,"kg")/$Q$2+SUMIFS($Z$9:$Z$128,$B$9:$B$128,B115,$F$9:$F$128,"L")/$Q$3&gt;1.000001,"Repartir carga del día","")))))))</f>
        <v/>
      </c>
      <c r="AB115" t="str">
        <f>IF(COUNTA(A115:E115,H115:I115,K115:N115)=0,"",IF(R115=0,"Elegir producto",IF(COUNT(B115:E115)&lt;&gt;4,"Completar fechas",IF(E115&lt;D115,"Revisar días de uso",IF(C115+criterio!$B$3&gt;D115,"El retiro llega tarde",IF(AND(N115&lt;&gt;"",OR(NOT(ISNUMBER(N115)),N115&lt;0)),"Revisar cantidad hecha",IF(AND(M115&lt;&gt;"",OR(NOT(ISNUMBER(M115)),M115&lt;0)),"Revisar cant. a adelantar",IF(AND(AND(ISBLANK(H115),L115="Adelanto"),NOT(ISNUMBER(AM115))),"Cargar cant. a adelantar",IF(AND(AND(ISBLANK(H115),L115="Adelanto"),I115&lt;&gt;"",OR(NOT(ISNUMBER(I115)),I115&lt;&gt;0)),"Revisar stock del adelanto",IF(AND(ISNUMBER(N115),N115&gt;0,L115&lt;&gt;"Sí",L115&lt;&gt;"Adelanto",N(M115)&lt;=0),"Hecho sin liberar",IF(AND(ISBLANK(H115),L115&lt;&gt;"Adelanto",OR(I115&lt;&gt;"",L115="Sí")),"Falta pedido real",IF(AND(H115&lt;&gt;"",OR(NOT(ISNUMBER(H115)),H115&lt;0)),"Revisar pedido",IF(AND(ISNUMBER(H115),H115=0,N(M115)&gt;0,N(N115)&gt;0,N(I115)=0),"Reasignar sobrante",IF(AND(ISNUMBER(H115),H115=0,OR(N115&gt;0,I115&gt;0)),"Revisar pedido y cantidades",IF(AND(ISNUMBER(H115),H115=0),"Sin pedido",IF(AND(ISNUMBER(H115),ISBLANK(I115)),"Falta anotar stock",IF(AND(I115&lt;&gt;"",OR(NOT(ISNUMBER(I115)),I115&lt;0,AND(ISNUMBER(H115),I115&gt;H115))),"Revisar stock asignado",IF(AND(ISNUMBER(I115),I115&gt;0,NOT(ISNUMBER(K115))),"Falta vencimiento de stock",IF(AND(ISNUMBER(I115),I115&gt;0,K115&lt;E115+criterio!$B$4),"El stock no cubre el uso",IF(AND(ISNUMBER(H115),ISNUMBER(I115),H115=I115,OR(N115="",N115=0)),"Cubierto con stock",IF(B115=criterio!$B$25,"Jornada bloqueada",IF(B115+S115&gt;C115,"No llega al retiro",IF(Q115&lt;E115,"Vence antes del último uso",IF(Q115&lt;E115+criterio!$B$4,"Falta margen de vida útil",IF(AND(ISBLANK(H115),L115&lt;&gt;"Adelanto",N(N115)&gt;0,N(M115)&gt;0),"Adelanto en pausa",IF(NOT(ISNUMBER(AM115)),"Previsión",IF(AND(ISNUMBER(H115),N(M115)&gt;0,N(N115)&gt;ROUND(H115-N(I115),3)),"Reasignar sobrante",IF(AND(ISNUMBER(N115),N115&gt;ROUND(AM115-N(I115),3)),"Revisar excedente",IF(AND(ISNUMBER(H115),L115&lt;&gt;"Sí",NOT(AND(N(M115)&gt;0,J115=0))),"Por confirmar",IF(J115=0,"Hecho",IF(AND(ISNUMBER(N115),N115&gt;0),"Completar","Preparar")))))))))))))))))))))))))))))))</f>
        <v/>
      </c>
      <c r="AC115">
        <f t="shared" si="40"/>
        <v>0</v>
      </c>
      <c r="AD115">
        <f>IF(OR(NOT(ISNUMBER(B115)),A115="",NOT(ISNUMBER(Z115)),Z115&lt;=0),0,IF(COUNTIFS($A$9:A115,A115,$B$9:B115,B115,$Z$9:Z115,"&gt;0")=1,1,0))</f>
        <v>0</v>
      </c>
      <c r="AE115">
        <f t="shared" si="41"/>
        <v>0</v>
      </c>
      <c r="AF115">
        <f t="shared" si="42"/>
        <v>0</v>
      </c>
      <c r="AG115" t="str">
        <f>IF(OR(AF115=0,AK115&lt;=0),"",IF(A115="Tsue","Retiro: ","Tanda: ")&amp;ROUND(AE115,3)&amp;" "&amp;F115&amp;". Acordar "&amp;INT(AE115/AK115)&amp;" o "&amp;ROUNDUP(AE115/AK115,0)&amp;IF(A115="Tsue"," envases de 5 L."," porciones de 500 g."))</f>
        <v/>
      </c>
      <c r="AH115">
        <f>IF(COUNTA(A115:E115,H115:I115,K115:L115,N115)=0,0,IF(OR(NOT(ISNUMBER(B115)),B115&lt;'Por semana'!$C$45,B115&gt;'Por semana'!$J$46+6),1,0))</f>
        <v>0</v>
      </c>
      <c r="AI115">
        <f t="shared" si="44"/>
        <v>0</v>
      </c>
      <c r="AJ115">
        <f t="shared" si="45"/>
        <v>0</v>
      </c>
      <c r="AK115">
        <f>IF(R115=0,0,IFERROR(INDEX(criterio!$J$11:$J$22,R115)+0,0))</f>
        <v>0</v>
      </c>
      <c r="AL115" t="str">
        <f t="shared" si="46"/>
        <v/>
      </c>
      <c r="AM115" t="str">
        <f t="shared" si="47"/>
        <v/>
      </c>
    </row>
    <row r="116" spans="1:39" ht="31" customHeight="1">
      <c r="A116" s="11"/>
      <c r="B116" s="19"/>
      <c r="C116" s="19"/>
      <c r="D116" s="19"/>
      <c r="E116" s="19"/>
      <c r="F116" s="10" t="str">
        <f>IF(R116=0,"",INDEX(criterio!$B$11:$B$22,R116))</f>
        <v/>
      </c>
      <c r="G116" s="4" t="str">
        <f>IFERROR(IF(INDEX(criterio!$B$31:$B$111,MATCH(W116,criterio!$A$31:$A$111,0))=A116,INDEX(criterio!$C$31:$C$111,MATCH(W116,criterio!$A$31:$A$111,0)),""),"")</f>
        <v/>
      </c>
      <c r="H116" s="5"/>
      <c r="I116" s="5"/>
      <c r="J116" s="29" t="str">
        <f t="shared" si="36"/>
        <v/>
      </c>
      <c r="K116" s="20"/>
      <c r="L116" s="21"/>
      <c r="M116" s="5"/>
      <c r="N116" s="5"/>
      <c r="O116" s="6" t="str">
        <f t="shared" si="37"/>
        <v/>
      </c>
      <c r="P116" s="10" t="str">
        <f>IFERROR(IF(AND(INDEX(criterio!$I$31:$I$111,MATCH(W116,criterio!$A$31:$A$111,0))=1,INDEX(criterio!$B$31:$B$111,MATCH(W116,criterio!$A$31:$A$111,0))=A116,ISNUMBER(B116),B116&gt;=criterio!$B$5,D116&lt;=criterio!$B$6,E116&gt;=criterio!$B$5),"Fuera de la previa del 20/12",""),"")</f>
        <v/>
      </c>
      <c r="Q116" s="22" t="str">
        <f t="shared" si="38"/>
        <v/>
      </c>
      <c r="R116">
        <f>IFERROR(MATCH(A116,criterio!$A$11:$A$22,0),0)</f>
        <v>0</v>
      </c>
      <c r="S116" t="str">
        <f>IF(R116=0,"",INDEX(criterio!$E$11:$E$22,R116))</f>
        <v/>
      </c>
      <c r="T116" t="str">
        <f>IF(R116=0,"",INDEX(criterio!$C$11:$C$22,R116))</f>
        <v/>
      </c>
      <c r="U116" t="str">
        <f>IF(R116=0,"",INDEX(criterio!$D$11:$D$22,R116))</f>
        <v/>
      </c>
      <c r="V116">
        <f>IF(AND(ISNUMBER(B116),B116=Turno!$B$3,OR(AL116="Preparar",AL116="Completar")),MAX($V$8:V115)+1,0)</f>
        <v>0</v>
      </c>
      <c r="Y116" t="str">
        <f>IF(R116=0,"",INDEX(criterio!$I$11:$I$22,R116))</f>
        <v/>
      </c>
      <c r="Z116" t="str">
        <f t="shared" si="39"/>
        <v/>
      </c>
      <c r="AA116" t="str">
        <f>IF(OR(A116="",COUNT(B116:C116)&lt;&gt;2),"",IF(OR(WEEKDAY(B116,2)&gt;5,COUNTIF(criterio!$B$25:$E$25,B116)&gt;0),"Cambiar día de elaboración",IF(OR(WEEKDAY(C116,2)&gt;5,COUNTIF(criterio!$B$25:$E$25,C116)&gt;0),"Cambiar día de retiro",IF(SUMIF($B$9:$B$128,B116,$AD$9:$AD$128)&gt;criterio!$D$26,"Más de dos recetas",IF(OR(A116="",NOT(ISNUMBER(B116))),"",IF(OR(NOT(ISNUMBER($Q$2)),NOT(ISNUMBER($Q$3)),$Q$2&lt;=0,$Q$3&lt;=0),"Revisar topes de carga",IF(SUMIFS($Z$9:$Z$128,$B$9:$B$128,B116,$F$9:$F$128,"kg")/$Q$2+SUMIFS($Z$9:$Z$128,$B$9:$B$128,B116,$F$9:$F$128,"L")/$Q$3&gt;1.000001,"Repartir carga del día","")))))))</f>
        <v/>
      </c>
      <c r="AB116" t="str">
        <f>IF(COUNTA(A116:E116,H116:I116,K116:N116)=0,"",IF(R116=0,"Elegir producto",IF(COUNT(B116:E116)&lt;&gt;4,"Completar fechas",IF(E116&lt;D116,"Revisar días de uso",IF(C116+criterio!$B$3&gt;D116,"El retiro llega tarde",IF(AND(N116&lt;&gt;"",OR(NOT(ISNUMBER(N116)),N116&lt;0)),"Revisar cantidad hecha",IF(AND(M116&lt;&gt;"",OR(NOT(ISNUMBER(M116)),M116&lt;0)),"Revisar cant. a adelantar",IF(AND(AND(ISBLANK(H116),L116="Adelanto"),NOT(ISNUMBER(AM116))),"Cargar cant. a adelantar",IF(AND(AND(ISBLANK(H116),L116="Adelanto"),I116&lt;&gt;"",OR(NOT(ISNUMBER(I116)),I116&lt;&gt;0)),"Revisar stock del adelanto",IF(AND(ISNUMBER(N116),N116&gt;0,L116&lt;&gt;"Sí",L116&lt;&gt;"Adelanto",N(M116)&lt;=0),"Hecho sin liberar",IF(AND(ISBLANK(H116),L116&lt;&gt;"Adelanto",OR(I116&lt;&gt;"",L116="Sí")),"Falta pedido real",IF(AND(H116&lt;&gt;"",OR(NOT(ISNUMBER(H116)),H116&lt;0)),"Revisar pedido",IF(AND(ISNUMBER(H116),H116=0,N(M116)&gt;0,N(N116)&gt;0,N(I116)=0),"Reasignar sobrante",IF(AND(ISNUMBER(H116),H116=0,OR(N116&gt;0,I116&gt;0)),"Revisar pedido y cantidades",IF(AND(ISNUMBER(H116),H116=0),"Sin pedido",IF(AND(ISNUMBER(H116),ISBLANK(I116)),"Falta anotar stock",IF(AND(I116&lt;&gt;"",OR(NOT(ISNUMBER(I116)),I116&lt;0,AND(ISNUMBER(H116),I116&gt;H116))),"Revisar stock asignado",IF(AND(ISNUMBER(I116),I116&gt;0,NOT(ISNUMBER(K116))),"Falta vencimiento de stock",IF(AND(ISNUMBER(I116),I116&gt;0,K116&lt;E116+criterio!$B$4),"El stock no cubre el uso",IF(AND(ISNUMBER(H116),ISNUMBER(I116),H116=I116,OR(N116="",N116=0)),"Cubierto con stock",IF(B116=criterio!$B$25,"Jornada bloqueada",IF(B116+S116&gt;C116,"No llega al retiro",IF(Q116&lt;E116,"Vence antes del último uso",IF(Q116&lt;E116+criterio!$B$4,"Falta margen de vida útil",IF(AND(ISBLANK(H116),L116&lt;&gt;"Adelanto",N(N116)&gt;0,N(M116)&gt;0),"Adelanto en pausa",IF(NOT(ISNUMBER(AM116)),"Previsión",IF(AND(ISNUMBER(H116),N(M116)&gt;0,N(N116)&gt;ROUND(H116-N(I116),3)),"Reasignar sobrante",IF(AND(ISNUMBER(N116),N116&gt;ROUND(AM116-N(I116),3)),"Revisar excedente",IF(AND(ISNUMBER(H116),L116&lt;&gt;"Sí",NOT(AND(N(M116)&gt;0,J116=0))),"Por confirmar",IF(J116=0,"Hecho",IF(AND(ISNUMBER(N116),N116&gt;0),"Completar","Preparar")))))))))))))))))))))))))))))))</f>
        <v/>
      </c>
      <c r="AC116">
        <f t="shared" si="40"/>
        <v>0</v>
      </c>
      <c r="AD116">
        <f>IF(OR(NOT(ISNUMBER(B116)),A116="",NOT(ISNUMBER(Z116)),Z116&lt;=0),0,IF(COUNTIFS($A$9:A116,A116,$B$9:B116,B116,$Z$9:Z116,"&gt;0")=1,1,0))</f>
        <v>0</v>
      </c>
      <c r="AE116">
        <f t="shared" si="41"/>
        <v>0</v>
      </c>
      <c r="AF116">
        <f t="shared" si="42"/>
        <v>0</v>
      </c>
      <c r="AG116" t="str">
        <f>IF(OR(AF116=0,AK116&lt;=0),"",IF(A116="Tsue","Retiro: ","Tanda: ")&amp;ROUND(AE116,3)&amp;" "&amp;F116&amp;". Acordar "&amp;INT(AE116/AK116)&amp;" o "&amp;ROUNDUP(AE116/AK116,0)&amp;IF(A116="Tsue"," envases de 5 L."," porciones de 500 g."))</f>
        <v/>
      </c>
      <c r="AH116">
        <f>IF(COUNTA(A116:E116,H116:I116,K116:L116,N116)=0,0,IF(OR(NOT(ISNUMBER(B116)),B116&lt;'Por semana'!$C$45,B116&gt;'Por semana'!$J$46+6),1,0))</f>
        <v>0</v>
      </c>
      <c r="AI116">
        <f t="shared" si="44"/>
        <v>0</v>
      </c>
      <c r="AJ116">
        <f t="shared" si="45"/>
        <v>0</v>
      </c>
      <c r="AK116">
        <f>IF(R116=0,0,IFERROR(INDEX(criterio!$J$11:$J$22,R116)+0,0))</f>
        <v>0</v>
      </c>
      <c r="AL116" t="str">
        <f t="shared" si="46"/>
        <v/>
      </c>
      <c r="AM116" t="str">
        <f t="shared" si="47"/>
        <v/>
      </c>
    </row>
    <row r="117" spans="1:39" ht="31" customHeight="1">
      <c r="A117" s="11"/>
      <c r="B117" s="19"/>
      <c r="C117" s="19"/>
      <c r="D117" s="19"/>
      <c r="E117" s="19"/>
      <c r="F117" s="10" t="str">
        <f>IF(R117=0,"",INDEX(criterio!$B$11:$B$22,R117))</f>
        <v/>
      </c>
      <c r="G117" s="4" t="str">
        <f>IFERROR(IF(INDEX(criterio!$B$31:$B$111,MATCH(W117,criterio!$A$31:$A$111,0))=A117,INDEX(criterio!$C$31:$C$111,MATCH(W117,criterio!$A$31:$A$111,0)),""),"")</f>
        <v/>
      </c>
      <c r="H117" s="5"/>
      <c r="I117" s="5"/>
      <c r="J117" s="29" t="str">
        <f t="shared" si="36"/>
        <v/>
      </c>
      <c r="K117" s="20"/>
      <c r="L117" s="21"/>
      <c r="M117" s="5"/>
      <c r="N117" s="5"/>
      <c r="O117" s="6" t="str">
        <f t="shared" si="37"/>
        <v/>
      </c>
      <c r="P117" s="10" t="str">
        <f>IFERROR(IF(AND(INDEX(criterio!$I$31:$I$111,MATCH(W117,criterio!$A$31:$A$111,0))=1,INDEX(criterio!$B$31:$B$111,MATCH(W117,criterio!$A$31:$A$111,0))=A117,ISNUMBER(B117),B117&gt;=criterio!$B$5,D117&lt;=criterio!$B$6,E117&gt;=criterio!$B$5),"Fuera de la previa del 20/12",""),"")</f>
        <v/>
      </c>
      <c r="Q117" s="22" t="str">
        <f t="shared" si="38"/>
        <v/>
      </c>
      <c r="R117">
        <f>IFERROR(MATCH(A117,criterio!$A$11:$A$22,0),0)</f>
        <v>0</v>
      </c>
      <c r="S117" t="str">
        <f>IF(R117=0,"",INDEX(criterio!$E$11:$E$22,R117))</f>
        <v/>
      </c>
      <c r="T117" t="str">
        <f>IF(R117=0,"",INDEX(criterio!$C$11:$C$22,R117))</f>
        <v/>
      </c>
      <c r="U117" t="str">
        <f>IF(R117=0,"",INDEX(criterio!$D$11:$D$22,R117))</f>
        <v/>
      </c>
      <c r="V117">
        <f>IF(AND(ISNUMBER(B117),B117=Turno!$B$3,OR(AL117="Preparar",AL117="Completar")),MAX($V$8:V116)+1,0)</f>
        <v>0</v>
      </c>
      <c r="Y117" t="str">
        <f>IF(R117=0,"",INDEX(criterio!$I$11:$I$22,R117))</f>
        <v/>
      </c>
      <c r="Z117" t="str">
        <f t="shared" si="39"/>
        <v/>
      </c>
      <c r="AA117" t="str">
        <f>IF(OR(A117="",COUNT(B117:C117)&lt;&gt;2),"",IF(OR(WEEKDAY(B117,2)&gt;5,COUNTIF(criterio!$B$25:$E$25,B117)&gt;0),"Cambiar día de elaboración",IF(OR(WEEKDAY(C117,2)&gt;5,COUNTIF(criterio!$B$25:$E$25,C117)&gt;0),"Cambiar día de retiro",IF(SUMIF($B$9:$B$128,B117,$AD$9:$AD$128)&gt;criterio!$D$26,"Más de dos recetas",IF(OR(A117="",NOT(ISNUMBER(B117))),"",IF(OR(NOT(ISNUMBER($Q$2)),NOT(ISNUMBER($Q$3)),$Q$2&lt;=0,$Q$3&lt;=0),"Revisar topes de carga",IF(SUMIFS($Z$9:$Z$128,$B$9:$B$128,B117,$F$9:$F$128,"kg")/$Q$2+SUMIFS($Z$9:$Z$128,$B$9:$B$128,B117,$F$9:$F$128,"L")/$Q$3&gt;1.000001,"Repartir carga del día","")))))))</f>
        <v/>
      </c>
      <c r="AB117" t="str">
        <f>IF(COUNTA(A117:E117,H117:I117,K117:N117)=0,"",IF(R117=0,"Elegir producto",IF(COUNT(B117:E117)&lt;&gt;4,"Completar fechas",IF(E117&lt;D117,"Revisar días de uso",IF(C117+criterio!$B$3&gt;D117,"El retiro llega tarde",IF(AND(N117&lt;&gt;"",OR(NOT(ISNUMBER(N117)),N117&lt;0)),"Revisar cantidad hecha",IF(AND(M117&lt;&gt;"",OR(NOT(ISNUMBER(M117)),M117&lt;0)),"Revisar cant. a adelantar",IF(AND(AND(ISBLANK(H117),L117="Adelanto"),NOT(ISNUMBER(AM117))),"Cargar cant. a adelantar",IF(AND(AND(ISBLANK(H117),L117="Adelanto"),I117&lt;&gt;"",OR(NOT(ISNUMBER(I117)),I117&lt;&gt;0)),"Revisar stock del adelanto",IF(AND(ISNUMBER(N117),N117&gt;0,L117&lt;&gt;"Sí",L117&lt;&gt;"Adelanto",N(M117)&lt;=0),"Hecho sin liberar",IF(AND(ISBLANK(H117),L117&lt;&gt;"Adelanto",OR(I117&lt;&gt;"",L117="Sí")),"Falta pedido real",IF(AND(H117&lt;&gt;"",OR(NOT(ISNUMBER(H117)),H117&lt;0)),"Revisar pedido",IF(AND(ISNUMBER(H117),H117=0,N(M117)&gt;0,N(N117)&gt;0,N(I117)=0),"Reasignar sobrante",IF(AND(ISNUMBER(H117),H117=0,OR(N117&gt;0,I117&gt;0)),"Revisar pedido y cantidades",IF(AND(ISNUMBER(H117),H117=0),"Sin pedido",IF(AND(ISNUMBER(H117),ISBLANK(I117)),"Falta anotar stock",IF(AND(I117&lt;&gt;"",OR(NOT(ISNUMBER(I117)),I117&lt;0,AND(ISNUMBER(H117),I117&gt;H117))),"Revisar stock asignado",IF(AND(ISNUMBER(I117),I117&gt;0,NOT(ISNUMBER(K117))),"Falta vencimiento de stock",IF(AND(ISNUMBER(I117),I117&gt;0,K117&lt;E117+criterio!$B$4),"El stock no cubre el uso",IF(AND(ISNUMBER(H117),ISNUMBER(I117),H117=I117,OR(N117="",N117=0)),"Cubierto con stock",IF(B117=criterio!$B$25,"Jornada bloqueada",IF(B117+S117&gt;C117,"No llega al retiro",IF(Q117&lt;E117,"Vence antes del último uso",IF(Q117&lt;E117+criterio!$B$4,"Falta margen de vida útil",IF(AND(ISBLANK(H117),L117&lt;&gt;"Adelanto",N(N117)&gt;0,N(M117)&gt;0),"Adelanto en pausa",IF(NOT(ISNUMBER(AM117)),"Previsión",IF(AND(ISNUMBER(H117),N(M117)&gt;0,N(N117)&gt;ROUND(H117-N(I117),3)),"Reasignar sobrante",IF(AND(ISNUMBER(N117),N117&gt;ROUND(AM117-N(I117),3)),"Revisar excedente",IF(AND(ISNUMBER(H117),L117&lt;&gt;"Sí",NOT(AND(N(M117)&gt;0,J117=0))),"Por confirmar",IF(J117=0,"Hecho",IF(AND(ISNUMBER(N117),N117&gt;0),"Completar","Preparar")))))))))))))))))))))))))))))))</f>
        <v/>
      </c>
      <c r="AC117">
        <f t="shared" si="40"/>
        <v>0</v>
      </c>
      <c r="AD117">
        <f>IF(OR(NOT(ISNUMBER(B117)),A117="",NOT(ISNUMBER(Z117)),Z117&lt;=0),0,IF(COUNTIFS($A$9:A117,A117,$B$9:B117,B117,$Z$9:Z117,"&gt;0")=1,1,0))</f>
        <v>0</v>
      </c>
      <c r="AE117">
        <f t="shared" si="41"/>
        <v>0</v>
      </c>
      <c r="AF117">
        <f t="shared" si="42"/>
        <v>0</v>
      </c>
      <c r="AG117" t="str">
        <f>IF(OR(AF117=0,AK117&lt;=0),"",IF(A117="Tsue","Retiro: ","Tanda: ")&amp;ROUND(AE117,3)&amp;" "&amp;F117&amp;". Acordar "&amp;INT(AE117/AK117)&amp;" o "&amp;ROUNDUP(AE117/AK117,0)&amp;IF(A117="Tsue"," envases de 5 L."," porciones de 500 g."))</f>
        <v/>
      </c>
      <c r="AH117">
        <f>IF(COUNTA(A117:E117,H117:I117,K117:L117,N117)=0,0,IF(OR(NOT(ISNUMBER(B117)),B117&lt;'Por semana'!$C$45,B117&gt;'Por semana'!$J$46+6),1,0))</f>
        <v>0</v>
      </c>
      <c r="AI117">
        <f t="shared" si="44"/>
        <v>0</v>
      </c>
      <c r="AJ117">
        <f t="shared" si="45"/>
        <v>0</v>
      </c>
      <c r="AK117">
        <f>IF(R117=0,0,IFERROR(INDEX(criterio!$J$11:$J$22,R117)+0,0))</f>
        <v>0</v>
      </c>
      <c r="AL117" t="str">
        <f t="shared" si="46"/>
        <v/>
      </c>
      <c r="AM117" t="str">
        <f t="shared" si="47"/>
        <v/>
      </c>
    </row>
    <row r="118" spans="1:39" ht="31" customHeight="1">
      <c r="A118" s="11"/>
      <c r="B118" s="19"/>
      <c r="C118" s="19"/>
      <c r="D118" s="19"/>
      <c r="E118" s="19"/>
      <c r="F118" s="10" t="str">
        <f>IF(R118=0,"",INDEX(criterio!$B$11:$B$22,R118))</f>
        <v/>
      </c>
      <c r="G118" s="4" t="str">
        <f>IFERROR(IF(INDEX(criterio!$B$31:$B$111,MATCH(W118,criterio!$A$31:$A$111,0))=A118,INDEX(criterio!$C$31:$C$111,MATCH(W118,criterio!$A$31:$A$111,0)),""),"")</f>
        <v/>
      </c>
      <c r="H118" s="5"/>
      <c r="I118" s="5"/>
      <c r="J118" s="29" t="str">
        <f t="shared" si="36"/>
        <v/>
      </c>
      <c r="K118" s="20"/>
      <c r="L118" s="21"/>
      <c r="M118" s="5"/>
      <c r="N118" s="5"/>
      <c r="O118" s="6" t="str">
        <f t="shared" si="37"/>
        <v/>
      </c>
      <c r="P118" s="10" t="str">
        <f>IFERROR(IF(AND(INDEX(criterio!$I$31:$I$111,MATCH(W118,criterio!$A$31:$A$111,0))=1,INDEX(criterio!$B$31:$B$111,MATCH(W118,criterio!$A$31:$A$111,0))=A118,ISNUMBER(B118),B118&gt;=criterio!$B$5,D118&lt;=criterio!$B$6,E118&gt;=criterio!$B$5),"Fuera de la previa del 20/12",""),"")</f>
        <v/>
      </c>
      <c r="Q118" s="22" t="str">
        <f t="shared" si="38"/>
        <v/>
      </c>
      <c r="R118">
        <f>IFERROR(MATCH(A118,criterio!$A$11:$A$22,0),0)</f>
        <v>0</v>
      </c>
      <c r="S118" t="str">
        <f>IF(R118=0,"",INDEX(criterio!$E$11:$E$22,R118))</f>
        <v/>
      </c>
      <c r="T118" t="str">
        <f>IF(R118=0,"",INDEX(criterio!$C$11:$C$22,R118))</f>
        <v/>
      </c>
      <c r="U118" t="str">
        <f>IF(R118=0,"",INDEX(criterio!$D$11:$D$22,R118))</f>
        <v/>
      </c>
      <c r="V118">
        <f>IF(AND(ISNUMBER(B118),B118=Turno!$B$3,OR(AL118="Preparar",AL118="Completar")),MAX($V$8:V117)+1,0)</f>
        <v>0</v>
      </c>
      <c r="Y118" t="str">
        <f>IF(R118=0,"",INDEX(criterio!$I$11:$I$22,R118))</f>
        <v/>
      </c>
      <c r="Z118" t="str">
        <f t="shared" si="39"/>
        <v/>
      </c>
      <c r="AA118" t="str">
        <f>IF(OR(A118="",COUNT(B118:C118)&lt;&gt;2),"",IF(OR(WEEKDAY(B118,2)&gt;5,COUNTIF(criterio!$B$25:$E$25,B118)&gt;0),"Cambiar día de elaboración",IF(OR(WEEKDAY(C118,2)&gt;5,COUNTIF(criterio!$B$25:$E$25,C118)&gt;0),"Cambiar día de retiro",IF(SUMIF($B$9:$B$128,B118,$AD$9:$AD$128)&gt;criterio!$D$26,"Más de dos recetas",IF(OR(A118="",NOT(ISNUMBER(B118))),"",IF(OR(NOT(ISNUMBER($Q$2)),NOT(ISNUMBER($Q$3)),$Q$2&lt;=0,$Q$3&lt;=0),"Revisar topes de carga",IF(SUMIFS($Z$9:$Z$128,$B$9:$B$128,B118,$F$9:$F$128,"kg")/$Q$2+SUMIFS($Z$9:$Z$128,$B$9:$B$128,B118,$F$9:$F$128,"L")/$Q$3&gt;1.000001,"Repartir carga del día","")))))))</f>
        <v/>
      </c>
      <c r="AB118" t="str">
        <f>IF(COUNTA(A118:E118,H118:I118,K118:N118)=0,"",IF(R118=0,"Elegir producto",IF(COUNT(B118:E118)&lt;&gt;4,"Completar fechas",IF(E118&lt;D118,"Revisar días de uso",IF(C118+criterio!$B$3&gt;D118,"El retiro llega tarde",IF(AND(N118&lt;&gt;"",OR(NOT(ISNUMBER(N118)),N118&lt;0)),"Revisar cantidad hecha",IF(AND(M118&lt;&gt;"",OR(NOT(ISNUMBER(M118)),M118&lt;0)),"Revisar cant. a adelantar",IF(AND(AND(ISBLANK(H118),L118="Adelanto"),NOT(ISNUMBER(AM118))),"Cargar cant. a adelantar",IF(AND(AND(ISBLANK(H118),L118="Adelanto"),I118&lt;&gt;"",OR(NOT(ISNUMBER(I118)),I118&lt;&gt;0)),"Revisar stock del adelanto",IF(AND(ISNUMBER(N118),N118&gt;0,L118&lt;&gt;"Sí",L118&lt;&gt;"Adelanto",N(M118)&lt;=0),"Hecho sin liberar",IF(AND(ISBLANK(H118),L118&lt;&gt;"Adelanto",OR(I118&lt;&gt;"",L118="Sí")),"Falta pedido real",IF(AND(H118&lt;&gt;"",OR(NOT(ISNUMBER(H118)),H118&lt;0)),"Revisar pedido",IF(AND(ISNUMBER(H118),H118=0,N(M118)&gt;0,N(N118)&gt;0,N(I118)=0),"Reasignar sobrante",IF(AND(ISNUMBER(H118),H118=0,OR(N118&gt;0,I118&gt;0)),"Revisar pedido y cantidades",IF(AND(ISNUMBER(H118),H118=0),"Sin pedido",IF(AND(ISNUMBER(H118),ISBLANK(I118)),"Falta anotar stock",IF(AND(I118&lt;&gt;"",OR(NOT(ISNUMBER(I118)),I118&lt;0,AND(ISNUMBER(H118),I118&gt;H118))),"Revisar stock asignado",IF(AND(ISNUMBER(I118),I118&gt;0,NOT(ISNUMBER(K118))),"Falta vencimiento de stock",IF(AND(ISNUMBER(I118),I118&gt;0,K118&lt;E118+criterio!$B$4),"El stock no cubre el uso",IF(AND(ISNUMBER(H118),ISNUMBER(I118),H118=I118,OR(N118="",N118=0)),"Cubierto con stock",IF(B118=criterio!$B$25,"Jornada bloqueada",IF(B118+S118&gt;C118,"No llega al retiro",IF(Q118&lt;E118,"Vence antes del último uso",IF(Q118&lt;E118+criterio!$B$4,"Falta margen de vida útil",IF(AND(ISBLANK(H118),L118&lt;&gt;"Adelanto",N(N118)&gt;0,N(M118)&gt;0),"Adelanto en pausa",IF(NOT(ISNUMBER(AM118)),"Previsión",IF(AND(ISNUMBER(H118),N(M118)&gt;0,N(N118)&gt;ROUND(H118-N(I118),3)),"Reasignar sobrante",IF(AND(ISNUMBER(N118),N118&gt;ROUND(AM118-N(I118),3)),"Revisar excedente",IF(AND(ISNUMBER(H118),L118&lt;&gt;"Sí",NOT(AND(N(M118)&gt;0,J118=0))),"Por confirmar",IF(J118=0,"Hecho",IF(AND(ISNUMBER(N118),N118&gt;0),"Completar","Preparar")))))))))))))))))))))))))))))))</f>
        <v/>
      </c>
      <c r="AC118">
        <f t="shared" si="40"/>
        <v>0</v>
      </c>
      <c r="AD118">
        <f>IF(OR(NOT(ISNUMBER(B118)),A118="",NOT(ISNUMBER(Z118)),Z118&lt;=0),0,IF(COUNTIFS($A$9:A118,A118,$B$9:B118,B118,$Z$9:Z118,"&gt;0")=1,1,0))</f>
        <v>0</v>
      </c>
      <c r="AE118">
        <f t="shared" si="41"/>
        <v>0</v>
      </c>
      <c r="AF118">
        <f t="shared" si="42"/>
        <v>0</v>
      </c>
      <c r="AG118" t="str">
        <f>IF(OR(AF118=0,AK118&lt;=0),"",IF(A118="Tsue","Retiro: ","Tanda: ")&amp;ROUND(AE118,3)&amp;" "&amp;F118&amp;". Acordar "&amp;INT(AE118/AK118)&amp;" o "&amp;ROUNDUP(AE118/AK118,0)&amp;IF(A118="Tsue"," envases de 5 L."," porciones de 500 g."))</f>
        <v/>
      </c>
      <c r="AH118">
        <f>IF(COUNTA(A118:E118,H118:I118,K118:L118,N118)=0,0,IF(OR(NOT(ISNUMBER(B118)),B118&lt;'Por semana'!$C$45,B118&gt;'Por semana'!$J$46+6),1,0))</f>
        <v>0</v>
      </c>
      <c r="AI118">
        <f t="shared" si="44"/>
        <v>0</v>
      </c>
      <c r="AJ118">
        <f t="shared" si="45"/>
        <v>0</v>
      </c>
      <c r="AK118">
        <f>IF(R118=0,0,IFERROR(INDEX(criterio!$J$11:$J$22,R118)+0,0))</f>
        <v>0</v>
      </c>
      <c r="AL118" t="str">
        <f t="shared" si="46"/>
        <v/>
      </c>
      <c r="AM118" t="str">
        <f t="shared" si="47"/>
        <v/>
      </c>
    </row>
    <row r="119" spans="1:39" ht="31" customHeight="1">
      <c r="A119" s="11"/>
      <c r="B119" s="19"/>
      <c r="C119" s="19"/>
      <c r="D119" s="19"/>
      <c r="E119" s="19"/>
      <c r="F119" s="10" t="str">
        <f>IF(R119=0,"",INDEX(criterio!$B$11:$B$22,R119))</f>
        <v/>
      </c>
      <c r="G119" s="4" t="str">
        <f>IFERROR(IF(INDEX(criterio!$B$31:$B$111,MATCH(W119,criterio!$A$31:$A$111,0))=A119,INDEX(criterio!$C$31:$C$111,MATCH(W119,criterio!$A$31:$A$111,0)),""),"")</f>
        <v/>
      </c>
      <c r="H119" s="5"/>
      <c r="I119" s="5"/>
      <c r="J119" s="29" t="str">
        <f t="shared" si="36"/>
        <v/>
      </c>
      <c r="K119" s="20"/>
      <c r="L119" s="21"/>
      <c r="M119" s="5"/>
      <c r="N119" s="5"/>
      <c r="O119" s="6" t="str">
        <f t="shared" si="37"/>
        <v/>
      </c>
      <c r="P119" s="10" t="str">
        <f>IFERROR(IF(AND(INDEX(criterio!$I$31:$I$111,MATCH(W119,criterio!$A$31:$A$111,0))=1,INDEX(criterio!$B$31:$B$111,MATCH(W119,criterio!$A$31:$A$111,0))=A119,ISNUMBER(B119),B119&gt;=criterio!$B$5,D119&lt;=criterio!$B$6,E119&gt;=criterio!$B$5),"Fuera de la previa del 20/12",""),"")</f>
        <v/>
      </c>
      <c r="Q119" s="22" t="str">
        <f t="shared" si="38"/>
        <v/>
      </c>
      <c r="R119">
        <f>IFERROR(MATCH(A119,criterio!$A$11:$A$22,0),0)</f>
        <v>0</v>
      </c>
      <c r="S119" t="str">
        <f>IF(R119=0,"",INDEX(criterio!$E$11:$E$22,R119))</f>
        <v/>
      </c>
      <c r="T119" t="str">
        <f>IF(R119=0,"",INDEX(criterio!$C$11:$C$22,R119))</f>
        <v/>
      </c>
      <c r="U119" t="str">
        <f>IF(R119=0,"",INDEX(criterio!$D$11:$D$22,R119))</f>
        <v/>
      </c>
      <c r="V119">
        <f>IF(AND(ISNUMBER(B119),B119=Turno!$B$3,OR(AL119="Preparar",AL119="Completar")),MAX($V$8:V118)+1,0)</f>
        <v>0</v>
      </c>
      <c r="Y119" t="str">
        <f>IF(R119=0,"",INDEX(criterio!$I$11:$I$22,R119))</f>
        <v/>
      </c>
      <c r="Z119" t="str">
        <f t="shared" si="39"/>
        <v/>
      </c>
      <c r="AA119" t="str">
        <f>IF(OR(A119="",COUNT(B119:C119)&lt;&gt;2),"",IF(OR(WEEKDAY(B119,2)&gt;5,COUNTIF(criterio!$B$25:$E$25,B119)&gt;0),"Cambiar día de elaboración",IF(OR(WEEKDAY(C119,2)&gt;5,COUNTIF(criterio!$B$25:$E$25,C119)&gt;0),"Cambiar día de retiro",IF(SUMIF($B$9:$B$128,B119,$AD$9:$AD$128)&gt;criterio!$D$26,"Más de dos recetas",IF(OR(A119="",NOT(ISNUMBER(B119))),"",IF(OR(NOT(ISNUMBER($Q$2)),NOT(ISNUMBER($Q$3)),$Q$2&lt;=0,$Q$3&lt;=0),"Revisar topes de carga",IF(SUMIFS($Z$9:$Z$128,$B$9:$B$128,B119,$F$9:$F$128,"kg")/$Q$2+SUMIFS($Z$9:$Z$128,$B$9:$B$128,B119,$F$9:$F$128,"L")/$Q$3&gt;1.000001,"Repartir carga del día","")))))))</f>
        <v/>
      </c>
      <c r="AB119" t="str">
        <f>IF(COUNTA(A119:E119,H119:I119,K119:N119)=0,"",IF(R119=0,"Elegir producto",IF(COUNT(B119:E119)&lt;&gt;4,"Completar fechas",IF(E119&lt;D119,"Revisar días de uso",IF(C119+criterio!$B$3&gt;D119,"El retiro llega tarde",IF(AND(N119&lt;&gt;"",OR(NOT(ISNUMBER(N119)),N119&lt;0)),"Revisar cantidad hecha",IF(AND(M119&lt;&gt;"",OR(NOT(ISNUMBER(M119)),M119&lt;0)),"Revisar cant. a adelantar",IF(AND(AND(ISBLANK(H119),L119="Adelanto"),NOT(ISNUMBER(AM119))),"Cargar cant. a adelantar",IF(AND(AND(ISBLANK(H119),L119="Adelanto"),I119&lt;&gt;"",OR(NOT(ISNUMBER(I119)),I119&lt;&gt;0)),"Revisar stock del adelanto",IF(AND(ISNUMBER(N119),N119&gt;0,L119&lt;&gt;"Sí",L119&lt;&gt;"Adelanto",N(M119)&lt;=0),"Hecho sin liberar",IF(AND(ISBLANK(H119),L119&lt;&gt;"Adelanto",OR(I119&lt;&gt;"",L119="Sí")),"Falta pedido real",IF(AND(H119&lt;&gt;"",OR(NOT(ISNUMBER(H119)),H119&lt;0)),"Revisar pedido",IF(AND(ISNUMBER(H119),H119=0,N(M119)&gt;0,N(N119)&gt;0,N(I119)=0),"Reasignar sobrante",IF(AND(ISNUMBER(H119),H119=0,OR(N119&gt;0,I119&gt;0)),"Revisar pedido y cantidades",IF(AND(ISNUMBER(H119),H119=0),"Sin pedido",IF(AND(ISNUMBER(H119),ISBLANK(I119)),"Falta anotar stock",IF(AND(I119&lt;&gt;"",OR(NOT(ISNUMBER(I119)),I119&lt;0,AND(ISNUMBER(H119),I119&gt;H119))),"Revisar stock asignado",IF(AND(ISNUMBER(I119),I119&gt;0,NOT(ISNUMBER(K119))),"Falta vencimiento de stock",IF(AND(ISNUMBER(I119),I119&gt;0,K119&lt;E119+criterio!$B$4),"El stock no cubre el uso",IF(AND(ISNUMBER(H119),ISNUMBER(I119),H119=I119,OR(N119="",N119=0)),"Cubierto con stock",IF(B119=criterio!$B$25,"Jornada bloqueada",IF(B119+S119&gt;C119,"No llega al retiro",IF(Q119&lt;E119,"Vence antes del último uso",IF(Q119&lt;E119+criterio!$B$4,"Falta margen de vida útil",IF(AND(ISBLANK(H119),L119&lt;&gt;"Adelanto",N(N119)&gt;0,N(M119)&gt;0),"Adelanto en pausa",IF(NOT(ISNUMBER(AM119)),"Previsión",IF(AND(ISNUMBER(H119),N(M119)&gt;0,N(N119)&gt;ROUND(H119-N(I119),3)),"Reasignar sobrante",IF(AND(ISNUMBER(N119),N119&gt;ROUND(AM119-N(I119),3)),"Revisar excedente",IF(AND(ISNUMBER(H119),L119&lt;&gt;"Sí",NOT(AND(N(M119)&gt;0,J119=0))),"Por confirmar",IF(J119=0,"Hecho",IF(AND(ISNUMBER(N119),N119&gt;0),"Completar","Preparar")))))))))))))))))))))))))))))))</f>
        <v/>
      </c>
      <c r="AC119">
        <f t="shared" si="40"/>
        <v>0</v>
      </c>
      <c r="AD119">
        <f>IF(OR(NOT(ISNUMBER(B119)),A119="",NOT(ISNUMBER(Z119)),Z119&lt;=0),0,IF(COUNTIFS($A$9:A119,A119,$B$9:B119,B119,$Z$9:Z119,"&gt;0")=1,1,0))</f>
        <v>0</v>
      </c>
      <c r="AE119">
        <f t="shared" si="41"/>
        <v>0</v>
      </c>
      <c r="AF119">
        <f t="shared" si="42"/>
        <v>0</v>
      </c>
      <c r="AG119" t="str">
        <f>IF(OR(AF119=0,AK119&lt;=0),"",IF(A119="Tsue","Retiro: ","Tanda: ")&amp;ROUND(AE119,3)&amp;" "&amp;F119&amp;". Acordar "&amp;INT(AE119/AK119)&amp;" o "&amp;ROUNDUP(AE119/AK119,0)&amp;IF(A119="Tsue"," envases de 5 L."," porciones de 500 g."))</f>
        <v/>
      </c>
      <c r="AH119">
        <f>IF(COUNTA(A119:E119,H119:I119,K119:L119,N119)=0,0,IF(OR(NOT(ISNUMBER(B119)),B119&lt;'Por semana'!$C$45,B119&gt;'Por semana'!$J$46+6),1,0))</f>
        <v>0</v>
      </c>
      <c r="AI119">
        <f t="shared" si="44"/>
        <v>0</v>
      </c>
      <c r="AJ119">
        <f t="shared" si="45"/>
        <v>0</v>
      </c>
      <c r="AK119">
        <f>IF(R119=0,0,IFERROR(INDEX(criterio!$J$11:$J$22,R119)+0,0))</f>
        <v>0</v>
      </c>
      <c r="AL119" t="str">
        <f t="shared" si="46"/>
        <v/>
      </c>
      <c r="AM119" t="str">
        <f t="shared" si="47"/>
        <v/>
      </c>
    </row>
    <row r="120" spans="1:39" ht="31" customHeight="1">
      <c r="A120" s="11"/>
      <c r="B120" s="19"/>
      <c r="C120" s="19"/>
      <c r="D120" s="19"/>
      <c r="E120" s="19"/>
      <c r="F120" s="10" t="str">
        <f>IF(R120=0,"",INDEX(criterio!$B$11:$B$22,R120))</f>
        <v/>
      </c>
      <c r="G120" s="4" t="str">
        <f>IFERROR(IF(INDEX(criterio!$B$31:$B$111,MATCH(W120,criterio!$A$31:$A$111,0))=A120,INDEX(criterio!$C$31:$C$111,MATCH(W120,criterio!$A$31:$A$111,0)),""),"")</f>
        <v/>
      </c>
      <c r="H120" s="5"/>
      <c r="I120" s="5"/>
      <c r="J120" s="29" t="str">
        <f t="shared" si="36"/>
        <v/>
      </c>
      <c r="K120" s="20"/>
      <c r="L120" s="21"/>
      <c r="M120" s="5"/>
      <c r="N120" s="5"/>
      <c r="O120" s="6" t="str">
        <f t="shared" si="37"/>
        <v/>
      </c>
      <c r="P120" s="10" t="str">
        <f>IFERROR(IF(AND(INDEX(criterio!$I$31:$I$111,MATCH(W120,criterio!$A$31:$A$111,0))=1,INDEX(criterio!$B$31:$B$111,MATCH(W120,criterio!$A$31:$A$111,0))=A120,ISNUMBER(B120),B120&gt;=criterio!$B$5,D120&lt;=criterio!$B$6,E120&gt;=criterio!$B$5),"Fuera de la previa del 20/12",""),"")</f>
        <v/>
      </c>
      <c r="Q120" s="22" t="str">
        <f t="shared" si="38"/>
        <v/>
      </c>
      <c r="R120">
        <f>IFERROR(MATCH(A120,criterio!$A$11:$A$22,0),0)</f>
        <v>0</v>
      </c>
      <c r="S120" t="str">
        <f>IF(R120=0,"",INDEX(criterio!$E$11:$E$22,R120))</f>
        <v/>
      </c>
      <c r="T120" t="str">
        <f>IF(R120=0,"",INDEX(criterio!$C$11:$C$22,R120))</f>
        <v/>
      </c>
      <c r="U120" t="str">
        <f>IF(R120=0,"",INDEX(criterio!$D$11:$D$22,R120))</f>
        <v/>
      </c>
      <c r="V120">
        <f>IF(AND(ISNUMBER(B120),B120=Turno!$B$3,OR(AL120="Preparar",AL120="Completar")),MAX($V$8:V119)+1,0)</f>
        <v>0</v>
      </c>
      <c r="Y120" t="str">
        <f>IF(R120=0,"",INDEX(criterio!$I$11:$I$22,R120))</f>
        <v/>
      </c>
      <c r="Z120" t="str">
        <f t="shared" si="39"/>
        <v/>
      </c>
      <c r="AA120" t="str">
        <f>IF(OR(A120="",COUNT(B120:C120)&lt;&gt;2),"",IF(OR(WEEKDAY(B120,2)&gt;5,COUNTIF(criterio!$B$25:$E$25,B120)&gt;0),"Cambiar día de elaboración",IF(OR(WEEKDAY(C120,2)&gt;5,COUNTIF(criterio!$B$25:$E$25,C120)&gt;0),"Cambiar día de retiro",IF(SUMIF($B$9:$B$128,B120,$AD$9:$AD$128)&gt;criterio!$D$26,"Más de dos recetas",IF(OR(A120="",NOT(ISNUMBER(B120))),"",IF(OR(NOT(ISNUMBER($Q$2)),NOT(ISNUMBER($Q$3)),$Q$2&lt;=0,$Q$3&lt;=0),"Revisar topes de carga",IF(SUMIFS($Z$9:$Z$128,$B$9:$B$128,B120,$F$9:$F$128,"kg")/$Q$2+SUMIFS($Z$9:$Z$128,$B$9:$B$128,B120,$F$9:$F$128,"L")/$Q$3&gt;1.000001,"Repartir carga del día","")))))))</f>
        <v/>
      </c>
      <c r="AB120" t="str">
        <f>IF(COUNTA(A120:E120,H120:I120,K120:N120)=0,"",IF(R120=0,"Elegir producto",IF(COUNT(B120:E120)&lt;&gt;4,"Completar fechas",IF(E120&lt;D120,"Revisar días de uso",IF(C120+criterio!$B$3&gt;D120,"El retiro llega tarde",IF(AND(N120&lt;&gt;"",OR(NOT(ISNUMBER(N120)),N120&lt;0)),"Revisar cantidad hecha",IF(AND(M120&lt;&gt;"",OR(NOT(ISNUMBER(M120)),M120&lt;0)),"Revisar cant. a adelantar",IF(AND(AND(ISBLANK(H120),L120="Adelanto"),NOT(ISNUMBER(AM120))),"Cargar cant. a adelantar",IF(AND(AND(ISBLANK(H120),L120="Adelanto"),I120&lt;&gt;"",OR(NOT(ISNUMBER(I120)),I120&lt;&gt;0)),"Revisar stock del adelanto",IF(AND(ISNUMBER(N120),N120&gt;0,L120&lt;&gt;"Sí",L120&lt;&gt;"Adelanto",N(M120)&lt;=0),"Hecho sin liberar",IF(AND(ISBLANK(H120),L120&lt;&gt;"Adelanto",OR(I120&lt;&gt;"",L120="Sí")),"Falta pedido real",IF(AND(H120&lt;&gt;"",OR(NOT(ISNUMBER(H120)),H120&lt;0)),"Revisar pedido",IF(AND(ISNUMBER(H120),H120=0,N(M120)&gt;0,N(N120)&gt;0,N(I120)=0),"Reasignar sobrante",IF(AND(ISNUMBER(H120),H120=0,OR(N120&gt;0,I120&gt;0)),"Revisar pedido y cantidades",IF(AND(ISNUMBER(H120),H120=0),"Sin pedido",IF(AND(ISNUMBER(H120),ISBLANK(I120)),"Falta anotar stock",IF(AND(I120&lt;&gt;"",OR(NOT(ISNUMBER(I120)),I120&lt;0,AND(ISNUMBER(H120),I120&gt;H120))),"Revisar stock asignado",IF(AND(ISNUMBER(I120),I120&gt;0,NOT(ISNUMBER(K120))),"Falta vencimiento de stock",IF(AND(ISNUMBER(I120),I120&gt;0,K120&lt;E120+criterio!$B$4),"El stock no cubre el uso",IF(AND(ISNUMBER(H120),ISNUMBER(I120),H120=I120,OR(N120="",N120=0)),"Cubierto con stock",IF(B120=criterio!$B$25,"Jornada bloqueada",IF(B120+S120&gt;C120,"No llega al retiro",IF(Q120&lt;E120,"Vence antes del último uso",IF(Q120&lt;E120+criterio!$B$4,"Falta margen de vida útil",IF(AND(ISBLANK(H120),L120&lt;&gt;"Adelanto",N(N120)&gt;0,N(M120)&gt;0),"Adelanto en pausa",IF(NOT(ISNUMBER(AM120)),"Previsión",IF(AND(ISNUMBER(H120),N(M120)&gt;0,N(N120)&gt;ROUND(H120-N(I120),3)),"Reasignar sobrante",IF(AND(ISNUMBER(N120),N120&gt;ROUND(AM120-N(I120),3)),"Revisar excedente",IF(AND(ISNUMBER(H120),L120&lt;&gt;"Sí",NOT(AND(N(M120)&gt;0,J120=0))),"Por confirmar",IF(J120=0,"Hecho",IF(AND(ISNUMBER(N120),N120&gt;0),"Completar","Preparar")))))))))))))))))))))))))))))))</f>
        <v/>
      </c>
      <c r="AC120">
        <f t="shared" si="40"/>
        <v>0</v>
      </c>
      <c r="AD120">
        <f>IF(OR(NOT(ISNUMBER(B120)),A120="",NOT(ISNUMBER(Z120)),Z120&lt;=0),0,IF(COUNTIFS($A$9:A120,A120,$B$9:B120,B120,$Z$9:Z120,"&gt;0")=1,1,0))</f>
        <v>0</v>
      </c>
      <c r="AE120">
        <f t="shared" si="41"/>
        <v>0</v>
      </c>
      <c r="AF120">
        <f t="shared" si="42"/>
        <v>0</v>
      </c>
      <c r="AG120" t="str">
        <f>IF(OR(AF120=0,AK120&lt;=0),"",IF(A120="Tsue","Retiro: ","Tanda: ")&amp;ROUND(AE120,3)&amp;" "&amp;F120&amp;". Acordar "&amp;INT(AE120/AK120)&amp;" o "&amp;ROUNDUP(AE120/AK120,0)&amp;IF(A120="Tsue"," envases de 5 L."," porciones de 500 g."))</f>
        <v/>
      </c>
      <c r="AH120">
        <f>IF(COUNTA(A120:E120,H120:I120,K120:L120,N120)=0,0,IF(OR(NOT(ISNUMBER(B120)),B120&lt;'Por semana'!$C$45,B120&gt;'Por semana'!$J$46+6),1,0))</f>
        <v>0</v>
      </c>
      <c r="AI120">
        <f t="shared" si="44"/>
        <v>0</v>
      </c>
      <c r="AJ120">
        <f t="shared" si="45"/>
        <v>0</v>
      </c>
      <c r="AK120">
        <f>IF(R120=0,0,IFERROR(INDEX(criterio!$J$11:$J$22,R120)+0,0))</f>
        <v>0</v>
      </c>
      <c r="AL120" t="str">
        <f t="shared" si="46"/>
        <v/>
      </c>
      <c r="AM120" t="str">
        <f t="shared" si="47"/>
        <v/>
      </c>
    </row>
    <row r="121" spans="1:39" ht="31" customHeight="1">
      <c r="A121" s="11"/>
      <c r="B121" s="19"/>
      <c r="C121" s="19"/>
      <c r="D121" s="19"/>
      <c r="E121" s="19"/>
      <c r="F121" s="10" t="str">
        <f>IF(R121=0,"",INDEX(criterio!$B$11:$B$22,R121))</f>
        <v/>
      </c>
      <c r="G121" s="4" t="str">
        <f>IFERROR(IF(INDEX(criterio!$B$31:$B$111,MATCH(W121,criterio!$A$31:$A$111,0))=A121,INDEX(criterio!$C$31:$C$111,MATCH(W121,criterio!$A$31:$A$111,0)),""),"")</f>
        <v/>
      </c>
      <c r="H121" s="5"/>
      <c r="I121" s="5"/>
      <c r="J121" s="29" t="str">
        <f t="shared" si="36"/>
        <v/>
      </c>
      <c r="K121" s="20"/>
      <c r="L121" s="21"/>
      <c r="M121" s="5"/>
      <c r="N121" s="5"/>
      <c r="O121" s="6" t="str">
        <f t="shared" si="37"/>
        <v/>
      </c>
      <c r="P121" s="10" t="str">
        <f>IFERROR(IF(AND(INDEX(criterio!$I$31:$I$111,MATCH(W121,criterio!$A$31:$A$111,0))=1,INDEX(criterio!$B$31:$B$111,MATCH(W121,criterio!$A$31:$A$111,0))=A121,ISNUMBER(B121),B121&gt;=criterio!$B$5,D121&lt;=criterio!$B$6,E121&gt;=criterio!$B$5),"Fuera de la previa del 20/12",""),"")</f>
        <v/>
      </c>
      <c r="Q121" s="22" t="str">
        <f t="shared" si="38"/>
        <v/>
      </c>
      <c r="R121">
        <f>IFERROR(MATCH(A121,criterio!$A$11:$A$22,0),0)</f>
        <v>0</v>
      </c>
      <c r="S121" t="str">
        <f>IF(R121=0,"",INDEX(criterio!$E$11:$E$22,R121))</f>
        <v/>
      </c>
      <c r="T121" t="str">
        <f>IF(R121=0,"",INDEX(criterio!$C$11:$C$22,R121))</f>
        <v/>
      </c>
      <c r="U121" t="str">
        <f>IF(R121=0,"",INDEX(criterio!$D$11:$D$22,R121))</f>
        <v/>
      </c>
      <c r="V121">
        <f>IF(AND(ISNUMBER(B121),B121=Turno!$B$3,OR(AL121="Preparar",AL121="Completar")),MAX($V$8:V120)+1,0)</f>
        <v>0</v>
      </c>
      <c r="Y121" t="str">
        <f>IF(R121=0,"",INDEX(criterio!$I$11:$I$22,R121))</f>
        <v/>
      </c>
      <c r="Z121" t="str">
        <f t="shared" si="39"/>
        <v/>
      </c>
      <c r="AA121" t="str">
        <f>IF(OR(A121="",COUNT(B121:C121)&lt;&gt;2),"",IF(OR(WEEKDAY(B121,2)&gt;5,COUNTIF(criterio!$B$25:$E$25,B121)&gt;0),"Cambiar día de elaboración",IF(OR(WEEKDAY(C121,2)&gt;5,COUNTIF(criterio!$B$25:$E$25,C121)&gt;0),"Cambiar día de retiro",IF(SUMIF($B$9:$B$128,B121,$AD$9:$AD$128)&gt;criterio!$D$26,"Más de dos recetas",IF(OR(A121="",NOT(ISNUMBER(B121))),"",IF(OR(NOT(ISNUMBER($Q$2)),NOT(ISNUMBER($Q$3)),$Q$2&lt;=0,$Q$3&lt;=0),"Revisar topes de carga",IF(SUMIFS($Z$9:$Z$128,$B$9:$B$128,B121,$F$9:$F$128,"kg")/$Q$2+SUMIFS($Z$9:$Z$128,$B$9:$B$128,B121,$F$9:$F$128,"L")/$Q$3&gt;1.000001,"Repartir carga del día","")))))))</f>
        <v/>
      </c>
      <c r="AB121" t="str">
        <f>IF(COUNTA(A121:E121,H121:I121,K121:N121)=0,"",IF(R121=0,"Elegir producto",IF(COUNT(B121:E121)&lt;&gt;4,"Completar fechas",IF(E121&lt;D121,"Revisar días de uso",IF(C121+criterio!$B$3&gt;D121,"El retiro llega tarde",IF(AND(N121&lt;&gt;"",OR(NOT(ISNUMBER(N121)),N121&lt;0)),"Revisar cantidad hecha",IF(AND(M121&lt;&gt;"",OR(NOT(ISNUMBER(M121)),M121&lt;0)),"Revisar cant. a adelantar",IF(AND(AND(ISBLANK(H121),L121="Adelanto"),NOT(ISNUMBER(AM121))),"Cargar cant. a adelantar",IF(AND(AND(ISBLANK(H121),L121="Adelanto"),I121&lt;&gt;"",OR(NOT(ISNUMBER(I121)),I121&lt;&gt;0)),"Revisar stock del adelanto",IF(AND(ISNUMBER(N121),N121&gt;0,L121&lt;&gt;"Sí",L121&lt;&gt;"Adelanto",N(M121)&lt;=0),"Hecho sin liberar",IF(AND(ISBLANK(H121),L121&lt;&gt;"Adelanto",OR(I121&lt;&gt;"",L121="Sí")),"Falta pedido real",IF(AND(H121&lt;&gt;"",OR(NOT(ISNUMBER(H121)),H121&lt;0)),"Revisar pedido",IF(AND(ISNUMBER(H121),H121=0,N(M121)&gt;0,N(N121)&gt;0,N(I121)=0),"Reasignar sobrante",IF(AND(ISNUMBER(H121),H121=0,OR(N121&gt;0,I121&gt;0)),"Revisar pedido y cantidades",IF(AND(ISNUMBER(H121),H121=0),"Sin pedido",IF(AND(ISNUMBER(H121),ISBLANK(I121)),"Falta anotar stock",IF(AND(I121&lt;&gt;"",OR(NOT(ISNUMBER(I121)),I121&lt;0,AND(ISNUMBER(H121),I121&gt;H121))),"Revisar stock asignado",IF(AND(ISNUMBER(I121),I121&gt;0,NOT(ISNUMBER(K121))),"Falta vencimiento de stock",IF(AND(ISNUMBER(I121),I121&gt;0,K121&lt;E121+criterio!$B$4),"El stock no cubre el uso",IF(AND(ISNUMBER(H121),ISNUMBER(I121),H121=I121,OR(N121="",N121=0)),"Cubierto con stock",IF(B121=criterio!$B$25,"Jornada bloqueada",IF(B121+S121&gt;C121,"No llega al retiro",IF(Q121&lt;E121,"Vence antes del último uso",IF(Q121&lt;E121+criterio!$B$4,"Falta margen de vida útil",IF(AND(ISBLANK(H121),L121&lt;&gt;"Adelanto",N(N121)&gt;0,N(M121)&gt;0),"Adelanto en pausa",IF(NOT(ISNUMBER(AM121)),"Previsión",IF(AND(ISNUMBER(H121),N(M121)&gt;0,N(N121)&gt;ROUND(H121-N(I121),3)),"Reasignar sobrante",IF(AND(ISNUMBER(N121),N121&gt;ROUND(AM121-N(I121),3)),"Revisar excedente",IF(AND(ISNUMBER(H121),L121&lt;&gt;"Sí",NOT(AND(N(M121)&gt;0,J121=0))),"Por confirmar",IF(J121=0,"Hecho",IF(AND(ISNUMBER(N121),N121&gt;0),"Completar","Preparar")))))))))))))))))))))))))))))))</f>
        <v/>
      </c>
      <c r="AC121">
        <f t="shared" si="40"/>
        <v>0</v>
      </c>
      <c r="AD121">
        <f>IF(OR(NOT(ISNUMBER(B121)),A121="",NOT(ISNUMBER(Z121)),Z121&lt;=0),0,IF(COUNTIFS($A$9:A121,A121,$B$9:B121,B121,$Z$9:Z121,"&gt;0")=1,1,0))</f>
        <v>0</v>
      </c>
      <c r="AE121">
        <f t="shared" si="41"/>
        <v>0</v>
      </c>
      <c r="AF121">
        <f t="shared" si="42"/>
        <v>0</v>
      </c>
      <c r="AG121" t="str">
        <f>IF(OR(AF121=0,AK121&lt;=0),"",IF(A121="Tsue","Retiro: ","Tanda: ")&amp;ROUND(AE121,3)&amp;" "&amp;F121&amp;". Acordar "&amp;INT(AE121/AK121)&amp;" o "&amp;ROUNDUP(AE121/AK121,0)&amp;IF(A121="Tsue"," envases de 5 L."," porciones de 500 g."))</f>
        <v/>
      </c>
      <c r="AH121">
        <f>IF(COUNTA(A121:E121,H121:I121,K121:L121,N121)=0,0,IF(OR(NOT(ISNUMBER(B121)),B121&lt;'Por semana'!$C$45,B121&gt;'Por semana'!$J$46+6),1,0))</f>
        <v>0</v>
      </c>
      <c r="AI121">
        <f t="shared" si="44"/>
        <v>0</v>
      </c>
      <c r="AJ121">
        <f t="shared" si="45"/>
        <v>0</v>
      </c>
      <c r="AK121">
        <f>IF(R121=0,0,IFERROR(INDEX(criterio!$J$11:$J$22,R121)+0,0))</f>
        <v>0</v>
      </c>
      <c r="AL121" t="str">
        <f t="shared" si="46"/>
        <v/>
      </c>
      <c r="AM121" t="str">
        <f t="shared" si="47"/>
        <v/>
      </c>
    </row>
    <row r="122" spans="1:39" ht="31" customHeight="1">
      <c r="A122" s="11"/>
      <c r="B122" s="19"/>
      <c r="C122" s="19"/>
      <c r="D122" s="19"/>
      <c r="E122" s="19"/>
      <c r="F122" s="10" t="str">
        <f>IF(R122=0,"",INDEX(criterio!$B$11:$B$22,R122))</f>
        <v/>
      </c>
      <c r="G122" s="4" t="str">
        <f>IFERROR(IF(INDEX(criterio!$B$31:$B$111,MATCH(W122,criterio!$A$31:$A$111,0))=A122,INDEX(criterio!$C$31:$C$111,MATCH(W122,criterio!$A$31:$A$111,0)),""),"")</f>
        <v/>
      </c>
      <c r="H122" s="5"/>
      <c r="I122" s="5"/>
      <c r="J122" s="29" t="str">
        <f t="shared" si="36"/>
        <v/>
      </c>
      <c r="K122" s="20"/>
      <c r="L122" s="21"/>
      <c r="M122" s="5"/>
      <c r="N122" s="5"/>
      <c r="O122" s="6" t="str">
        <f t="shared" si="37"/>
        <v/>
      </c>
      <c r="P122" s="10" t="str">
        <f>IFERROR(IF(AND(INDEX(criterio!$I$31:$I$111,MATCH(W122,criterio!$A$31:$A$111,0))=1,INDEX(criterio!$B$31:$B$111,MATCH(W122,criterio!$A$31:$A$111,0))=A122,ISNUMBER(B122),B122&gt;=criterio!$B$5,D122&lt;=criterio!$B$6,E122&gt;=criterio!$B$5),"Fuera de la previa del 20/12",""),"")</f>
        <v/>
      </c>
      <c r="Q122" s="22" t="str">
        <f t="shared" si="38"/>
        <v/>
      </c>
      <c r="R122">
        <f>IFERROR(MATCH(A122,criterio!$A$11:$A$22,0),0)</f>
        <v>0</v>
      </c>
      <c r="S122" t="str">
        <f>IF(R122=0,"",INDEX(criterio!$E$11:$E$22,R122))</f>
        <v/>
      </c>
      <c r="T122" t="str">
        <f>IF(R122=0,"",INDEX(criterio!$C$11:$C$22,R122))</f>
        <v/>
      </c>
      <c r="U122" t="str">
        <f>IF(R122=0,"",INDEX(criterio!$D$11:$D$22,R122))</f>
        <v/>
      </c>
      <c r="V122">
        <f>IF(AND(ISNUMBER(B122),B122=Turno!$B$3,OR(AL122="Preparar",AL122="Completar")),MAX($V$8:V121)+1,0)</f>
        <v>0</v>
      </c>
      <c r="Y122" t="str">
        <f>IF(R122=0,"",INDEX(criterio!$I$11:$I$22,R122))</f>
        <v/>
      </c>
      <c r="Z122" t="str">
        <f t="shared" si="39"/>
        <v/>
      </c>
      <c r="AA122" t="str">
        <f>IF(OR(A122="",COUNT(B122:C122)&lt;&gt;2),"",IF(OR(WEEKDAY(B122,2)&gt;5,COUNTIF(criterio!$B$25:$E$25,B122)&gt;0),"Cambiar día de elaboración",IF(OR(WEEKDAY(C122,2)&gt;5,COUNTIF(criterio!$B$25:$E$25,C122)&gt;0),"Cambiar día de retiro",IF(SUMIF($B$9:$B$128,B122,$AD$9:$AD$128)&gt;criterio!$D$26,"Más de dos recetas",IF(OR(A122="",NOT(ISNUMBER(B122))),"",IF(OR(NOT(ISNUMBER($Q$2)),NOT(ISNUMBER($Q$3)),$Q$2&lt;=0,$Q$3&lt;=0),"Revisar topes de carga",IF(SUMIFS($Z$9:$Z$128,$B$9:$B$128,B122,$F$9:$F$128,"kg")/$Q$2+SUMIFS($Z$9:$Z$128,$B$9:$B$128,B122,$F$9:$F$128,"L")/$Q$3&gt;1.000001,"Repartir carga del día","")))))))</f>
        <v/>
      </c>
      <c r="AB122" t="str">
        <f>IF(COUNTA(A122:E122,H122:I122,K122:N122)=0,"",IF(R122=0,"Elegir producto",IF(COUNT(B122:E122)&lt;&gt;4,"Completar fechas",IF(E122&lt;D122,"Revisar días de uso",IF(C122+criterio!$B$3&gt;D122,"El retiro llega tarde",IF(AND(N122&lt;&gt;"",OR(NOT(ISNUMBER(N122)),N122&lt;0)),"Revisar cantidad hecha",IF(AND(M122&lt;&gt;"",OR(NOT(ISNUMBER(M122)),M122&lt;0)),"Revisar cant. a adelantar",IF(AND(AND(ISBLANK(H122),L122="Adelanto"),NOT(ISNUMBER(AM122))),"Cargar cant. a adelantar",IF(AND(AND(ISBLANK(H122),L122="Adelanto"),I122&lt;&gt;"",OR(NOT(ISNUMBER(I122)),I122&lt;&gt;0)),"Revisar stock del adelanto",IF(AND(ISNUMBER(N122),N122&gt;0,L122&lt;&gt;"Sí",L122&lt;&gt;"Adelanto",N(M122)&lt;=0),"Hecho sin liberar",IF(AND(ISBLANK(H122),L122&lt;&gt;"Adelanto",OR(I122&lt;&gt;"",L122="Sí")),"Falta pedido real",IF(AND(H122&lt;&gt;"",OR(NOT(ISNUMBER(H122)),H122&lt;0)),"Revisar pedido",IF(AND(ISNUMBER(H122),H122=0,N(M122)&gt;0,N(N122)&gt;0,N(I122)=0),"Reasignar sobrante",IF(AND(ISNUMBER(H122),H122=0,OR(N122&gt;0,I122&gt;0)),"Revisar pedido y cantidades",IF(AND(ISNUMBER(H122),H122=0),"Sin pedido",IF(AND(ISNUMBER(H122),ISBLANK(I122)),"Falta anotar stock",IF(AND(I122&lt;&gt;"",OR(NOT(ISNUMBER(I122)),I122&lt;0,AND(ISNUMBER(H122),I122&gt;H122))),"Revisar stock asignado",IF(AND(ISNUMBER(I122),I122&gt;0,NOT(ISNUMBER(K122))),"Falta vencimiento de stock",IF(AND(ISNUMBER(I122),I122&gt;0,K122&lt;E122+criterio!$B$4),"El stock no cubre el uso",IF(AND(ISNUMBER(H122),ISNUMBER(I122),H122=I122,OR(N122="",N122=0)),"Cubierto con stock",IF(B122=criterio!$B$25,"Jornada bloqueada",IF(B122+S122&gt;C122,"No llega al retiro",IF(Q122&lt;E122,"Vence antes del último uso",IF(Q122&lt;E122+criterio!$B$4,"Falta margen de vida útil",IF(AND(ISBLANK(H122),L122&lt;&gt;"Adelanto",N(N122)&gt;0,N(M122)&gt;0),"Adelanto en pausa",IF(NOT(ISNUMBER(AM122)),"Previsión",IF(AND(ISNUMBER(H122),N(M122)&gt;0,N(N122)&gt;ROUND(H122-N(I122),3)),"Reasignar sobrante",IF(AND(ISNUMBER(N122),N122&gt;ROUND(AM122-N(I122),3)),"Revisar excedente",IF(AND(ISNUMBER(H122),L122&lt;&gt;"Sí",NOT(AND(N(M122)&gt;0,J122=0))),"Por confirmar",IF(J122=0,"Hecho",IF(AND(ISNUMBER(N122),N122&gt;0),"Completar","Preparar")))))))))))))))))))))))))))))))</f>
        <v/>
      </c>
      <c r="AC122">
        <f t="shared" si="40"/>
        <v>0</v>
      </c>
      <c r="AD122">
        <f>IF(OR(NOT(ISNUMBER(B122)),A122="",NOT(ISNUMBER(Z122)),Z122&lt;=0),0,IF(COUNTIFS($A$9:A122,A122,$B$9:B122,B122,$Z$9:Z122,"&gt;0")=1,1,0))</f>
        <v>0</v>
      </c>
      <c r="AE122">
        <f t="shared" si="41"/>
        <v>0</v>
      </c>
      <c r="AF122">
        <f t="shared" si="42"/>
        <v>0</v>
      </c>
      <c r="AG122" t="str">
        <f>IF(OR(AF122=0,AK122&lt;=0),"",IF(A122="Tsue","Retiro: ","Tanda: ")&amp;ROUND(AE122,3)&amp;" "&amp;F122&amp;". Acordar "&amp;INT(AE122/AK122)&amp;" o "&amp;ROUNDUP(AE122/AK122,0)&amp;IF(A122="Tsue"," envases de 5 L."," porciones de 500 g."))</f>
        <v/>
      </c>
      <c r="AH122">
        <f>IF(COUNTA(A122:E122,H122:I122,K122:L122,N122)=0,0,IF(OR(NOT(ISNUMBER(B122)),B122&lt;'Por semana'!$C$45,B122&gt;'Por semana'!$J$46+6),1,0))</f>
        <v>0</v>
      </c>
      <c r="AI122">
        <f t="shared" si="44"/>
        <v>0</v>
      </c>
      <c r="AJ122">
        <f t="shared" si="45"/>
        <v>0</v>
      </c>
      <c r="AK122">
        <f>IF(R122=0,0,IFERROR(INDEX(criterio!$J$11:$J$22,R122)+0,0))</f>
        <v>0</v>
      </c>
      <c r="AL122" t="str">
        <f t="shared" si="46"/>
        <v/>
      </c>
      <c r="AM122" t="str">
        <f t="shared" si="47"/>
        <v/>
      </c>
    </row>
    <row r="123" spans="1:39" ht="31" customHeight="1">
      <c r="A123" s="11"/>
      <c r="B123" s="19"/>
      <c r="C123" s="19"/>
      <c r="D123" s="19"/>
      <c r="E123" s="19"/>
      <c r="F123" s="10" t="str">
        <f>IF(R123=0,"",INDEX(criterio!$B$11:$B$22,R123))</f>
        <v/>
      </c>
      <c r="G123" s="4" t="str">
        <f>IFERROR(IF(INDEX(criterio!$B$31:$B$111,MATCH(W123,criterio!$A$31:$A$111,0))=A123,INDEX(criterio!$C$31:$C$111,MATCH(W123,criterio!$A$31:$A$111,0)),""),"")</f>
        <v/>
      </c>
      <c r="H123" s="5"/>
      <c r="I123" s="5"/>
      <c r="J123" s="29" t="str">
        <f t="shared" si="36"/>
        <v/>
      </c>
      <c r="K123" s="20"/>
      <c r="L123" s="21"/>
      <c r="M123" s="5"/>
      <c r="N123" s="5"/>
      <c r="O123" s="6" t="str">
        <f t="shared" si="37"/>
        <v/>
      </c>
      <c r="P123" s="10" t="str">
        <f>IFERROR(IF(AND(INDEX(criterio!$I$31:$I$111,MATCH(W123,criterio!$A$31:$A$111,0))=1,INDEX(criterio!$B$31:$B$111,MATCH(W123,criterio!$A$31:$A$111,0))=A123,ISNUMBER(B123),B123&gt;=criterio!$B$5,D123&lt;=criterio!$B$6,E123&gt;=criterio!$B$5),"Fuera de la previa del 20/12",""),"")</f>
        <v/>
      </c>
      <c r="Q123" s="22" t="str">
        <f t="shared" si="38"/>
        <v/>
      </c>
      <c r="R123">
        <f>IFERROR(MATCH(A123,criterio!$A$11:$A$22,0),0)</f>
        <v>0</v>
      </c>
      <c r="S123" t="str">
        <f>IF(R123=0,"",INDEX(criterio!$E$11:$E$22,R123))</f>
        <v/>
      </c>
      <c r="T123" t="str">
        <f>IF(R123=0,"",INDEX(criterio!$C$11:$C$22,R123))</f>
        <v/>
      </c>
      <c r="U123" t="str">
        <f>IF(R123=0,"",INDEX(criterio!$D$11:$D$22,R123))</f>
        <v/>
      </c>
      <c r="V123">
        <f>IF(AND(ISNUMBER(B123),B123=Turno!$B$3,OR(AL123="Preparar",AL123="Completar")),MAX($V$8:V122)+1,0)</f>
        <v>0</v>
      </c>
      <c r="Y123" t="str">
        <f>IF(R123=0,"",INDEX(criterio!$I$11:$I$22,R123))</f>
        <v/>
      </c>
      <c r="Z123" t="str">
        <f t="shared" si="39"/>
        <v/>
      </c>
      <c r="AA123" t="str">
        <f>IF(OR(A123="",COUNT(B123:C123)&lt;&gt;2),"",IF(OR(WEEKDAY(B123,2)&gt;5,COUNTIF(criterio!$B$25:$E$25,B123)&gt;0),"Cambiar día de elaboración",IF(OR(WEEKDAY(C123,2)&gt;5,COUNTIF(criterio!$B$25:$E$25,C123)&gt;0),"Cambiar día de retiro",IF(SUMIF($B$9:$B$128,B123,$AD$9:$AD$128)&gt;criterio!$D$26,"Más de dos recetas",IF(OR(A123="",NOT(ISNUMBER(B123))),"",IF(OR(NOT(ISNUMBER($Q$2)),NOT(ISNUMBER($Q$3)),$Q$2&lt;=0,$Q$3&lt;=0),"Revisar topes de carga",IF(SUMIFS($Z$9:$Z$128,$B$9:$B$128,B123,$F$9:$F$128,"kg")/$Q$2+SUMIFS($Z$9:$Z$128,$B$9:$B$128,B123,$F$9:$F$128,"L")/$Q$3&gt;1.000001,"Repartir carga del día","")))))))</f>
        <v/>
      </c>
      <c r="AB123" t="str">
        <f>IF(COUNTA(A123:E123,H123:I123,K123:N123)=0,"",IF(R123=0,"Elegir producto",IF(COUNT(B123:E123)&lt;&gt;4,"Completar fechas",IF(E123&lt;D123,"Revisar días de uso",IF(C123+criterio!$B$3&gt;D123,"El retiro llega tarde",IF(AND(N123&lt;&gt;"",OR(NOT(ISNUMBER(N123)),N123&lt;0)),"Revisar cantidad hecha",IF(AND(M123&lt;&gt;"",OR(NOT(ISNUMBER(M123)),M123&lt;0)),"Revisar cant. a adelantar",IF(AND(AND(ISBLANK(H123),L123="Adelanto"),NOT(ISNUMBER(AM123))),"Cargar cant. a adelantar",IF(AND(AND(ISBLANK(H123),L123="Adelanto"),I123&lt;&gt;"",OR(NOT(ISNUMBER(I123)),I123&lt;&gt;0)),"Revisar stock del adelanto",IF(AND(ISNUMBER(N123),N123&gt;0,L123&lt;&gt;"Sí",L123&lt;&gt;"Adelanto",N(M123)&lt;=0),"Hecho sin liberar",IF(AND(ISBLANK(H123),L123&lt;&gt;"Adelanto",OR(I123&lt;&gt;"",L123="Sí")),"Falta pedido real",IF(AND(H123&lt;&gt;"",OR(NOT(ISNUMBER(H123)),H123&lt;0)),"Revisar pedido",IF(AND(ISNUMBER(H123),H123=0,N(M123)&gt;0,N(N123)&gt;0,N(I123)=0),"Reasignar sobrante",IF(AND(ISNUMBER(H123),H123=0,OR(N123&gt;0,I123&gt;0)),"Revisar pedido y cantidades",IF(AND(ISNUMBER(H123),H123=0),"Sin pedido",IF(AND(ISNUMBER(H123),ISBLANK(I123)),"Falta anotar stock",IF(AND(I123&lt;&gt;"",OR(NOT(ISNUMBER(I123)),I123&lt;0,AND(ISNUMBER(H123),I123&gt;H123))),"Revisar stock asignado",IF(AND(ISNUMBER(I123),I123&gt;0,NOT(ISNUMBER(K123))),"Falta vencimiento de stock",IF(AND(ISNUMBER(I123),I123&gt;0,K123&lt;E123+criterio!$B$4),"El stock no cubre el uso",IF(AND(ISNUMBER(H123),ISNUMBER(I123),H123=I123,OR(N123="",N123=0)),"Cubierto con stock",IF(B123=criterio!$B$25,"Jornada bloqueada",IF(B123+S123&gt;C123,"No llega al retiro",IF(Q123&lt;E123,"Vence antes del último uso",IF(Q123&lt;E123+criterio!$B$4,"Falta margen de vida útil",IF(AND(ISBLANK(H123),L123&lt;&gt;"Adelanto",N(N123)&gt;0,N(M123)&gt;0),"Adelanto en pausa",IF(NOT(ISNUMBER(AM123)),"Previsión",IF(AND(ISNUMBER(H123),N(M123)&gt;0,N(N123)&gt;ROUND(H123-N(I123),3)),"Reasignar sobrante",IF(AND(ISNUMBER(N123),N123&gt;ROUND(AM123-N(I123),3)),"Revisar excedente",IF(AND(ISNUMBER(H123),L123&lt;&gt;"Sí",NOT(AND(N(M123)&gt;0,J123=0))),"Por confirmar",IF(J123=0,"Hecho",IF(AND(ISNUMBER(N123),N123&gt;0),"Completar","Preparar")))))))))))))))))))))))))))))))</f>
        <v/>
      </c>
      <c r="AC123">
        <f t="shared" si="40"/>
        <v>0</v>
      </c>
      <c r="AD123">
        <f>IF(OR(NOT(ISNUMBER(B123)),A123="",NOT(ISNUMBER(Z123)),Z123&lt;=0),0,IF(COUNTIFS($A$9:A123,A123,$B$9:B123,B123,$Z$9:Z123,"&gt;0")=1,1,0))</f>
        <v>0</v>
      </c>
      <c r="AE123">
        <f t="shared" si="41"/>
        <v>0</v>
      </c>
      <c r="AF123">
        <f t="shared" si="42"/>
        <v>0</v>
      </c>
      <c r="AG123" t="str">
        <f>IF(OR(AF123=0,AK123&lt;=0),"",IF(A123="Tsue","Retiro: ","Tanda: ")&amp;ROUND(AE123,3)&amp;" "&amp;F123&amp;". Acordar "&amp;INT(AE123/AK123)&amp;" o "&amp;ROUNDUP(AE123/AK123,0)&amp;IF(A123="Tsue"," envases de 5 L."," porciones de 500 g."))</f>
        <v/>
      </c>
      <c r="AH123">
        <f>IF(COUNTA(A123:E123,H123:I123,K123:L123,N123)=0,0,IF(OR(NOT(ISNUMBER(B123)),B123&lt;'Por semana'!$C$45,B123&gt;'Por semana'!$J$46+6),1,0))</f>
        <v>0</v>
      </c>
      <c r="AI123">
        <f t="shared" si="44"/>
        <v>0</v>
      </c>
      <c r="AJ123">
        <f t="shared" si="45"/>
        <v>0</v>
      </c>
      <c r="AK123">
        <f>IF(R123=0,0,IFERROR(INDEX(criterio!$J$11:$J$22,R123)+0,0))</f>
        <v>0</v>
      </c>
      <c r="AL123" t="str">
        <f t="shared" si="46"/>
        <v/>
      </c>
      <c r="AM123" t="str">
        <f t="shared" si="47"/>
        <v/>
      </c>
    </row>
    <row r="124" spans="1:39" ht="31" customHeight="1">
      <c r="A124" s="11"/>
      <c r="B124" s="19"/>
      <c r="C124" s="19"/>
      <c r="D124" s="19"/>
      <c r="E124" s="19"/>
      <c r="F124" s="10" t="str">
        <f>IF(R124=0,"",INDEX(criterio!$B$11:$B$22,R124))</f>
        <v/>
      </c>
      <c r="G124" s="4" t="str">
        <f>IFERROR(IF(INDEX(criterio!$B$31:$B$111,MATCH(W124,criterio!$A$31:$A$111,0))=A124,INDEX(criterio!$C$31:$C$111,MATCH(W124,criterio!$A$31:$A$111,0)),""),"")</f>
        <v/>
      </c>
      <c r="H124" s="5"/>
      <c r="I124" s="5"/>
      <c r="J124" s="29" t="str">
        <f t="shared" si="36"/>
        <v/>
      </c>
      <c r="K124" s="20"/>
      <c r="L124" s="21"/>
      <c r="M124" s="5"/>
      <c r="N124" s="5"/>
      <c r="O124" s="6" t="str">
        <f t="shared" si="37"/>
        <v/>
      </c>
      <c r="P124" s="10" t="str">
        <f>IFERROR(IF(AND(INDEX(criterio!$I$31:$I$111,MATCH(W124,criterio!$A$31:$A$111,0))=1,INDEX(criterio!$B$31:$B$111,MATCH(W124,criterio!$A$31:$A$111,0))=A124,ISNUMBER(B124),B124&gt;=criterio!$B$5,D124&lt;=criterio!$B$6,E124&gt;=criterio!$B$5),"Fuera de la previa del 20/12",""),"")</f>
        <v/>
      </c>
      <c r="Q124" s="22" t="str">
        <f t="shared" si="38"/>
        <v/>
      </c>
      <c r="R124">
        <f>IFERROR(MATCH(A124,criterio!$A$11:$A$22,0),0)</f>
        <v>0</v>
      </c>
      <c r="S124" t="str">
        <f>IF(R124=0,"",INDEX(criterio!$E$11:$E$22,R124))</f>
        <v/>
      </c>
      <c r="T124" t="str">
        <f>IF(R124=0,"",INDEX(criterio!$C$11:$C$22,R124))</f>
        <v/>
      </c>
      <c r="U124" t="str">
        <f>IF(R124=0,"",INDEX(criterio!$D$11:$D$22,R124))</f>
        <v/>
      </c>
      <c r="V124">
        <f>IF(AND(ISNUMBER(B124),B124=Turno!$B$3,OR(AL124="Preparar",AL124="Completar")),MAX($V$8:V123)+1,0)</f>
        <v>0</v>
      </c>
      <c r="Y124" t="str">
        <f>IF(R124=0,"",INDEX(criterio!$I$11:$I$22,R124))</f>
        <v/>
      </c>
      <c r="Z124" t="str">
        <f t="shared" si="39"/>
        <v/>
      </c>
      <c r="AA124" t="str">
        <f>IF(OR(A124="",COUNT(B124:C124)&lt;&gt;2),"",IF(OR(WEEKDAY(B124,2)&gt;5,COUNTIF(criterio!$B$25:$E$25,B124)&gt;0),"Cambiar día de elaboración",IF(OR(WEEKDAY(C124,2)&gt;5,COUNTIF(criterio!$B$25:$E$25,C124)&gt;0),"Cambiar día de retiro",IF(SUMIF($B$9:$B$128,B124,$AD$9:$AD$128)&gt;criterio!$D$26,"Más de dos recetas",IF(OR(A124="",NOT(ISNUMBER(B124))),"",IF(OR(NOT(ISNUMBER($Q$2)),NOT(ISNUMBER($Q$3)),$Q$2&lt;=0,$Q$3&lt;=0),"Revisar topes de carga",IF(SUMIFS($Z$9:$Z$128,$B$9:$B$128,B124,$F$9:$F$128,"kg")/$Q$2+SUMIFS($Z$9:$Z$128,$B$9:$B$128,B124,$F$9:$F$128,"L")/$Q$3&gt;1.000001,"Repartir carga del día","")))))))</f>
        <v/>
      </c>
      <c r="AB124" t="str">
        <f>IF(COUNTA(A124:E124,H124:I124,K124:N124)=0,"",IF(R124=0,"Elegir producto",IF(COUNT(B124:E124)&lt;&gt;4,"Completar fechas",IF(E124&lt;D124,"Revisar días de uso",IF(C124+criterio!$B$3&gt;D124,"El retiro llega tarde",IF(AND(N124&lt;&gt;"",OR(NOT(ISNUMBER(N124)),N124&lt;0)),"Revisar cantidad hecha",IF(AND(M124&lt;&gt;"",OR(NOT(ISNUMBER(M124)),M124&lt;0)),"Revisar cant. a adelantar",IF(AND(AND(ISBLANK(H124),L124="Adelanto"),NOT(ISNUMBER(AM124))),"Cargar cant. a adelantar",IF(AND(AND(ISBLANK(H124),L124="Adelanto"),I124&lt;&gt;"",OR(NOT(ISNUMBER(I124)),I124&lt;&gt;0)),"Revisar stock del adelanto",IF(AND(ISNUMBER(N124),N124&gt;0,L124&lt;&gt;"Sí",L124&lt;&gt;"Adelanto",N(M124)&lt;=0),"Hecho sin liberar",IF(AND(ISBLANK(H124),L124&lt;&gt;"Adelanto",OR(I124&lt;&gt;"",L124="Sí")),"Falta pedido real",IF(AND(H124&lt;&gt;"",OR(NOT(ISNUMBER(H124)),H124&lt;0)),"Revisar pedido",IF(AND(ISNUMBER(H124),H124=0,N(M124)&gt;0,N(N124)&gt;0,N(I124)=0),"Reasignar sobrante",IF(AND(ISNUMBER(H124),H124=0,OR(N124&gt;0,I124&gt;0)),"Revisar pedido y cantidades",IF(AND(ISNUMBER(H124),H124=0),"Sin pedido",IF(AND(ISNUMBER(H124),ISBLANK(I124)),"Falta anotar stock",IF(AND(I124&lt;&gt;"",OR(NOT(ISNUMBER(I124)),I124&lt;0,AND(ISNUMBER(H124),I124&gt;H124))),"Revisar stock asignado",IF(AND(ISNUMBER(I124),I124&gt;0,NOT(ISNUMBER(K124))),"Falta vencimiento de stock",IF(AND(ISNUMBER(I124),I124&gt;0,K124&lt;E124+criterio!$B$4),"El stock no cubre el uso",IF(AND(ISNUMBER(H124),ISNUMBER(I124),H124=I124,OR(N124="",N124=0)),"Cubierto con stock",IF(B124=criterio!$B$25,"Jornada bloqueada",IF(B124+S124&gt;C124,"No llega al retiro",IF(Q124&lt;E124,"Vence antes del último uso",IF(Q124&lt;E124+criterio!$B$4,"Falta margen de vida útil",IF(AND(ISBLANK(H124),L124&lt;&gt;"Adelanto",N(N124)&gt;0,N(M124)&gt;0),"Adelanto en pausa",IF(NOT(ISNUMBER(AM124)),"Previsión",IF(AND(ISNUMBER(H124),N(M124)&gt;0,N(N124)&gt;ROUND(H124-N(I124),3)),"Reasignar sobrante",IF(AND(ISNUMBER(N124),N124&gt;ROUND(AM124-N(I124),3)),"Revisar excedente",IF(AND(ISNUMBER(H124),L124&lt;&gt;"Sí",NOT(AND(N(M124)&gt;0,J124=0))),"Por confirmar",IF(J124=0,"Hecho",IF(AND(ISNUMBER(N124),N124&gt;0),"Completar","Preparar")))))))))))))))))))))))))))))))</f>
        <v/>
      </c>
      <c r="AC124">
        <f t="shared" si="40"/>
        <v>0</v>
      </c>
      <c r="AD124">
        <f>IF(OR(NOT(ISNUMBER(B124)),A124="",NOT(ISNUMBER(Z124)),Z124&lt;=0),0,IF(COUNTIFS($A$9:A124,A124,$B$9:B124,B124,$Z$9:Z124,"&gt;0")=1,1,0))</f>
        <v>0</v>
      </c>
      <c r="AE124">
        <f t="shared" si="41"/>
        <v>0</v>
      </c>
      <c r="AF124">
        <f t="shared" si="42"/>
        <v>0</v>
      </c>
      <c r="AG124" t="str">
        <f>IF(OR(AF124=0,AK124&lt;=0),"",IF(A124="Tsue","Retiro: ","Tanda: ")&amp;ROUND(AE124,3)&amp;" "&amp;F124&amp;". Acordar "&amp;INT(AE124/AK124)&amp;" o "&amp;ROUNDUP(AE124/AK124,0)&amp;IF(A124="Tsue"," envases de 5 L."," porciones de 500 g."))</f>
        <v/>
      </c>
      <c r="AH124">
        <f>IF(COUNTA(A124:E124,H124:I124,K124:L124,N124)=0,0,IF(OR(NOT(ISNUMBER(B124)),B124&lt;'Por semana'!$C$45,B124&gt;'Por semana'!$J$46+6),1,0))</f>
        <v>0</v>
      </c>
      <c r="AI124">
        <f t="shared" si="44"/>
        <v>0</v>
      </c>
      <c r="AJ124">
        <f t="shared" si="45"/>
        <v>0</v>
      </c>
      <c r="AK124">
        <f>IF(R124=0,0,IFERROR(INDEX(criterio!$J$11:$J$22,R124)+0,0))</f>
        <v>0</v>
      </c>
      <c r="AL124" t="str">
        <f t="shared" si="46"/>
        <v/>
      </c>
      <c r="AM124" t="str">
        <f t="shared" si="47"/>
        <v/>
      </c>
    </row>
    <row r="125" spans="1:39" ht="31" customHeight="1">
      <c r="A125" s="11"/>
      <c r="B125" s="19"/>
      <c r="C125" s="19"/>
      <c r="D125" s="19"/>
      <c r="E125" s="19"/>
      <c r="F125" s="10" t="str">
        <f>IF(R125=0,"",INDEX(criterio!$B$11:$B$22,R125))</f>
        <v/>
      </c>
      <c r="G125" s="4" t="str">
        <f>IFERROR(IF(INDEX(criterio!$B$31:$B$111,MATCH(W125,criterio!$A$31:$A$111,0))=A125,INDEX(criterio!$C$31:$C$111,MATCH(W125,criterio!$A$31:$A$111,0)),""),"")</f>
        <v/>
      </c>
      <c r="H125" s="5"/>
      <c r="I125" s="5"/>
      <c r="J125" s="29" t="str">
        <f t="shared" si="36"/>
        <v/>
      </c>
      <c r="K125" s="20"/>
      <c r="L125" s="21"/>
      <c r="M125" s="5"/>
      <c r="N125" s="5"/>
      <c r="O125" s="6" t="str">
        <f t="shared" si="37"/>
        <v/>
      </c>
      <c r="P125" s="10" t="str">
        <f>IFERROR(IF(AND(INDEX(criterio!$I$31:$I$111,MATCH(W125,criterio!$A$31:$A$111,0))=1,INDEX(criterio!$B$31:$B$111,MATCH(W125,criterio!$A$31:$A$111,0))=A125,ISNUMBER(B125),B125&gt;=criterio!$B$5,D125&lt;=criterio!$B$6,E125&gt;=criterio!$B$5),"Fuera de la previa del 20/12",""),"")</f>
        <v/>
      </c>
      <c r="Q125" s="22" t="str">
        <f t="shared" si="38"/>
        <v/>
      </c>
      <c r="R125">
        <f>IFERROR(MATCH(A125,criterio!$A$11:$A$22,0),0)</f>
        <v>0</v>
      </c>
      <c r="S125" t="str">
        <f>IF(R125=0,"",INDEX(criterio!$E$11:$E$22,R125))</f>
        <v/>
      </c>
      <c r="T125" t="str">
        <f>IF(R125=0,"",INDEX(criterio!$C$11:$C$22,R125))</f>
        <v/>
      </c>
      <c r="U125" t="str">
        <f>IF(R125=0,"",INDEX(criterio!$D$11:$D$22,R125))</f>
        <v/>
      </c>
      <c r="V125">
        <f>IF(AND(ISNUMBER(B125),B125=Turno!$B$3,OR(AL125="Preparar",AL125="Completar")),MAX($V$8:V124)+1,0)</f>
        <v>0</v>
      </c>
      <c r="Y125" t="str">
        <f>IF(R125=0,"",INDEX(criterio!$I$11:$I$22,R125))</f>
        <v/>
      </c>
      <c r="Z125" t="str">
        <f t="shared" si="39"/>
        <v/>
      </c>
      <c r="AA125" t="str">
        <f>IF(OR(A125="",COUNT(B125:C125)&lt;&gt;2),"",IF(OR(WEEKDAY(B125,2)&gt;5,COUNTIF(criterio!$B$25:$E$25,B125)&gt;0),"Cambiar día de elaboración",IF(OR(WEEKDAY(C125,2)&gt;5,COUNTIF(criterio!$B$25:$E$25,C125)&gt;0),"Cambiar día de retiro",IF(SUMIF($B$9:$B$128,B125,$AD$9:$AD$128)&gt;criterio!$D$26,"Más de dos recetas",IF(OR(A125="",NOT(ISNUMBER(B125))),"",IF(OR(NOT(ISNUMBER($Q$2)),NOT(ISNUMBER($Q$3)),$Q$2&lt;=0,$Q$3&lt;=0),"Revisar topes de carga",IF(SUMIFS($Z$9:$Z$128,$B$9:$B$128,B125,$F$9:$F$128,"kg")/$Q$2+SUMIFS($Z$9:$Z$128,$B$9:$B$128,B125,$F$9:$F$128,"L")/$Q$3&gt;1.000001,"Repartir carga del día","")))))))</f>
        <v/>
      </c>
      <c r="AB125" t="str">
        <f>IF(COUNTA(A125:E125,H125:I125,K125:N125)=0,"",IF(R125=0,"Elegir producto",IF(COUNT(B125:E125)&lt;&gt;4,"Completar fechas",IF(E125&lt;D125,"Revisar días de uso",IF(C125+criterio!$B$3&gt;D125,"El retiro llega tarde",IF(AND(N125&lt;&gt;"",OR(NOT(ISNUMBER(N125)),N125&lt;0)),"Revisar cantidad hecha",IF(AND(M125&lt;&gt;"",OR(NOT(ISNUMBER(M125)),M125&lt;0)),"Revisar cant. a adelantar",IF(AND(AND(ISBLANK(H125),L125="Adelanto"),NOT(ISNUMBER(AM125))),"Cargar cant. a adelantar",IF(AND(AND(ISBLANK(H125),L125="Adelanto"),I125&lt;&gt;"",OR(NOT(ISNUMBER(I125)),I125&lt;&gt;0)),"Revisar stock del adelanto",IF(AND(ISNUMBER(N125),N125&gt;0,L125&lt;&gt;"Sí",L125&lt;&gt;"Adelanto",N(M125)&lt;=0),"Hecho sin liberar",IF(AND(ISBLANK(H125),L125&lt;&gt;"Adelanto",OR(I125&lt;&gt;"",L125="Sí")),"Falta pedido real",IF(AND(H125&lt;&gt;"",OR(NOT(ISNUMBER(H125)),H125&lt;0)),"Revisar pedido",IF(AND(ISNUMBER(H125),H125=0,N(M125)&gt;0,N(N125)&gt;0,N(I125)=0),"Reasignar sobrante",IF(AND(ISNUMBER(H125),H125=0,OR(N125&gt;0,I125&gt;0)),"Revisar pedido y cantidades",IF(AND(ISNUMBER(H125),H125=0),"Sin pedido",IF(AND(ISNUMBER(H125),ISBLANK(I125)),"Falta anotar stock",IF(AND(I125&lt;&gt;"",OR(NOT(ISNUMBER(I125)),I125&lt;0,AND(ISNUMBER(H125),I125&gt;H125))),"Revisar stock asignado",IF(AND(ISNUMBER(I125),I125&gt;0,NOT(ISNUMBER(K125))),"Falta vencimiento de stock",IF(AND(ISNUMBER(I125),I125&gt;0,K125&lt;E125+criterio!$B$4),"El stock no cubre el uso",IF(AND(ISNUMBER(H125),ISNUMBER(I125),H125=I125,OR(N125="",N125=0)),"Cubierto con stock",IF(B125=criterio!$B$25,"Jornada bloqueada",IF(B125+S125&gt;C125,"No llega al retiro",IF(Q125&lt;E125,"Vence antes del último uso",IF(Q125&lt;E125+criterio!$B$4,"Falta margen de vida útil",IF(AND(ISBLANK(H125),L125&lt;&gt;"Adelanto",N(N125)&gt;0,N(M125)&gt;0),"Adelanto en pausa",IF(NOT(ISNUMBER(AM125)),"Previsión",IF(AND(ISNUMBER(H125),N(M125)&gt;0,N(N125)&gt;ROUND(H125-N(I125),3)),"Reasignar sobrante",IF(AND(ISNUMBER(N125),N125&gt;ROUND(AM125-N(I125),3)),"Revisar excedente",IF(AND(ISNUMBER(H125),L125&lt;&gt;"Sí",NOT(AND(N(M125)&gt;0,J125=0))),"Por confirmar",IF(J125=0,"Hecho",IF(AND(ISNUMBER(N125),N125&gt;0),"Completar","Preparar")))))))))))))))))))))))))))))))</f>
        <v/>
      </c>
      <c r="AC125">
        <f t="shared" si="40"/>
        <v>0</v>
      </c>
      <c r="AD125">
        <f>IF(OR(NOT(ISNUMBER(B125)),A125="",NOT(ISNUMBER(Z125)),Z125&lt;=0),0,IF(COUNTIFS($A$9:A125,A125,$B$9:B125,B125,$Z$9:Z125,"&gt;0")=1,1,0))</f>
        <v>0</v>
      </c>
      <c r="AE125">
        <f t="shared" si="41"/>
        <v>0</v>
      </c>
      <c r="AF125">
        <f t="shared" si="42"/>
        <v>0</v>
      </c>
      <c r="AG125" t="str">
        <f>IF(OR(AF125=0,AK125&lt;=0),"",IF(A125="Tsue","Retiro: ","Tanda: ")&amp;ROUND(AE125,3)&amp;" "&amp;F125&amp;". Acordar "&amp;INT(AE125/AK125)&amp;" o "&amp;ROUNDUP(AE125/AK125,0)&amp;IF(A125="Tsue"," envases de 5 L."," porciones de 500 g."))</f>
        <v/>
      </c>
      <c r="AH125">
        <f>IF(COUNTA(A125:E125,H125:I125,K125:L125,N125)=0,0,IF(OR(NOT(ISNUMBER(B125)),B125&lt;'Por semana'!$C$45,B125&gt;'Por semana'!$J$46+6),1,0))</f>
        <v>0</v>
      </c>
      <c r="AI125">
        <f t="shared" si="44"/>
        <v>0</v>
      </c>
      <c r="AJ125">
        <f t="shared" si="45"/>
        <v>0</v>
      </c>
      <c r="AK125">
        <f>IF(R125=0,0,IFERROR(INDEX(criterio!$J$11:$J$22,R125)+0,0))</f>
        <v>0</v>
      </c>
      <c r="AL125" t="str">
        <f t="shared" si="46"/>
        <v/>
      </c>
      <c r="AM125" t="str">
        <f t="shared" si="47"/>
        <v/>
      </c>
    </row>
    <row r="126" spans="1:39" ht="31" customHeight="1">
      <c r="A126" s="11"/>
      <c r="B126" s="19"/>
      <c r="C126" s="19"/>
      <c r="D126" s="19"/>
      <c r="E126" s="19"/>
      <c r="F126" s="10" t="str">
        <f>IF(R126=0,"",INDEX(criterio!$B$11:$B$22,R126))</f>
        <v/>
      </c>
      <c r="G126" s="4" t="str">
        <f>IFERROR(IF(INDEX(criterio!$B$31:$B$111,MATCH(W126,criterio!$A$31:$A$111,0))=A126,INDEX(criterio!$C$31:$C$111,MATCH(W126,criterio!$A$31:$A$111,0)),""),"")</f>
        <v/>
      </c>
      <c r="H126" s="5"/>
      <c r="I126" s="5"/>
      <c r="J126" s="29" t="str">
        <f t="shared" si="36"/>
        <v/>
      </c>
      <c r="K126" s="20"/>
      <c r="L126" s="21"/>
      <c r="M126" s="5"/>
      <c r="N126" s="5"/>
      <c r="O126" s="6" t="str">
        <f t="shared" si="37"/>
        <v/>
      </c>
      <c r="P126" s="10" t="str">
        <f>IFERROR(IF(AND(INDEX(criterio!$I$31:$I$111,MATCH(W126,criterio!$A$31:$A$111,0))=1,INDEX(criterio!$B$31:$B$111,MATCH(W126,criterio!$A$31:$A$111,0))=A126,ISNUMBER(B126),B126&gt;=criterio!$B$5,D126&lt;=criterio!$B$6,E126&gt;=criterio!$B$5),"Fuera de la previa del 20/12",""),"")</f>
        <v/>
      </c>
      <c r="Q126" s="22" t="str">
        <f t="shared" si="38"/>
        <v/>
      </c>
      <c r="R126">
        <f>IFERROR(MATCH(A126,criterio!$A$11:$A$22,0),0)</f>
        <v>0</v>
      </c>
      <c r="S126" t="str">
        <f>IF(R126=0,"",INDEX(criterio!$E$11:$E$22,R126))</f>
        <v/>
      </c>
      <c r="T126" t="str">
        <f>IF(R126=0,"",INDEX(criterio!$C$11:$C$22,R126))</f>
        <v/>
      </c>
      <c r="U126" t="str">
        <f>IF(R126=0,"",INDEX(criterio!$D$11:$D$22,R126))</f>
        <v/>
      </c>
      <c r="V126">
        <f>IF(AND(ISNUMBER(B126),B126=Turno!$B$3,OR(AL126="Preparar",AL126="Completar")),MAX($V$8:V125)+1,0)</f>
        <v>0</v>
      </c>
      <c r="Y126" t="str">
        <f>IF(R126=0,"",INDEX(criterio!$I$11:$I$22,R126))</f>
        <v/>
      </c>
      <c r="Z126" t="str">
        <f t="shared" si="39"/>
        <v/>
      </c>
      <c r="AA126" t="str">
        <f>IF(OR(A126="",COUNT(B126:C126)&lt;&gt;2),"",IF(OR(WEEKDAY(B126,2)&gt;5,COUNTIF(criterio!$B$25:$E$25,B126)&gt;0),"Cambiar día de elaboración",IF(OR(WEEKDAY(C126,2)&gt;5,COUNTIF(criterio!$B$25:$E$25,C126)&gt;0),"Cambiar día de retiro",IF(SUMIF($B$9:$B$128,B126,$AD$9:$AD$128)&gt;criterio!$D$26,"Más de dos recetas",IF(OR(A126="",NOT(ISNUMBER(B126))),"",IF(OR(NOT(ISNUMBER($Q$2)),NOT(ISNUMBER($Q$3)),$Q$2&lt;=0,$Q$3&lt;=0),"Revisar topes de carga",IF(SUMIFS($Z$9:$Z$128,$B$9:$B$128,B126,$F$9:$F$128,"kg")/$Q$2+SUMIFS($Z$9:$Z$128,$B$9:$B$128,B126,$F$9:$F$128,"L")/$Q$3&gt;1.000001,"Repartir carga del día","")))))))</f>
        <v/>
      </c>
      <c r="AB126" t="str">
        <f>IF(COUNTA(A126:E126,H126:I126,K126:N126)=0,"",IF(R126=0,"Elegir producto",IF(COUNT(B126:E126)&lt;&gt;4,"Completar fechas",IF(E126&lt;D126,"Revisar días de uso",IF(C126+criterio!$B$3&gt;D126,"El retiro llega tarde",IF(AND(N126&lt;&gt;"",OR(NOT(ISNUMBER(N126)),N126&lt;0)),"Revisar cantidad hecha",IF(AND(M126&lt;&gt;"",OR(NOT(ISNUMBER(M126)),M126&lt;0)),"Revisar cant. a adelantar",IF(AND(AND(ISBLANK(H126),L126="Adelanto"),NOT(ISNUMBER(AM126))),"Cargar cant. a adelantar",IF(AND(AND(ISBLANK(H126),L126="Adelanto"),I126&lt;&gt;"",OR(NOT(ISNUMBER(I126)),I126&lt;&gt;0)),"Revisar stock del adelanto",IF(AND(ISNUMBER(N126),N126&gt;0,L126&lt;&gt;"Sí",L126&lt;&gt;"Adelanto",N(M126)&lt;=0),"Hecho sin liberar",IF(AND(ISBLANK(H126),L126&lt;&gt;"Adelanto",OR(I126&lt;&gt;"",L126="Sí")),"Falta pedido real",IF(AND(H126&lt;&gt;"",OR(NOT(ISNUMBER(H126)),H126&lt;0)),"Revisar pedido",IF(AND(ISNUMBER(H126),H126=0,N(M126)&gt;0,N(N126)&gt;0,N(I126)=0),"Reasignar sobrante",IF(AND(ISNUMBER(H126),H126=0,OR(N126&gt;0,I126&gt;0)),"Revisar pedido y cantidades",IF(AND(ISNUMBER(H126),H126=0),"Sin pedido",IF(AND(ISNUMBER(H126),ISBLANK(I126)),"Falta anotar stock",IF(AND(I126&lt;&gt;"",OR(NOT(ISNUMBER(I126)),I126&lt;0,AND(ISNUMBER(H126),I126&gt;H126))),"Revisar stock asignado",IF(AND(ISNUMBER(I126),I126&gt;0,NOT(ISNUMBER(K126))),"Falta vencimiento de stock",IF(AND(ISNUMBER(I126),I126&gt;0,K126&lt;E126+criterio!$B$4),"El stock no cubre el uso",IF(AND(ISNUMBER(H126),ISNUMBER(I126),H126=I126,OR(N126="",N126=0)),"Cubierto con stock",IF(B126=criterio!$B$25,"Jornada bloqueada",IF(B126+S126&gt;C126,"No llega al retiro",IF(Q126&lt;E126,"Vence antes del último uso",IF(Q126&lt;E126+criterio!$B$4,"Falta margen de vida útil",IF(AND(ISBLANK(H126),L126&lt;&gt;"Adelanto",N(N126)&gt;0,N(M126)&gt;0),"Adelanto en pausa",IF(NOT(ISNUMBER(AM126)),"Previsión",IF(AND(ISNUMBER(H126),N(M126)&gt;0,N(N126)&gt;ROUND(H126-N(I126),3)),"Reasignar sobrante",IF(AND(ISNUMBER(N126),N126&gt;ROUND(AM126-N(I126),3)),"Revisar excedente",IF(AND(ISNUMBER(H126),L126&lt;&gt;"Sí",NOT(AND(N(M126)&gt;0,J126=0))),"Por confirmar",IF(J126=0,"Hecho",IF(AND(ISNUMBER(N126),N126&gt;0),"Completar","Preparar")))))))))))))))))))))))))))))))</f>
        <v/>
      </c>
      <c r="AC126">
        <f t="shared" si="40"/>
        <v>0</v>
      </c>
      <c r="AD126">
        <f>IF(OR(NOT(ISNUMBER(B126)),A126="",NOT(ISNUMBER(Z126)),Z126&lt;=0),0,IF(COUNTIFS($A$9:A126,A126,$B$9:B126,B126,$Z$9:Z126,"&gt;0")=1,1,0))</f>
        <v>0</v>
      </c>
      <c r="AE126">
        <f t="shared" si="41"/>
        <v>0</v>
      </c>
      <c r="AF126">
        <f t="shared" si="42"/>
        <v>0</v>
      </c>
      <c r="AG126" t="str">
        <f>IF(OR(AF126=0,AK126&lt;=0),"",IF(A126="Tsue","Retiro: ","Tanda: ")&amp;ROUND(AE126,3)&amp;" "&amp;F126&amp;". Acordar "&amp;INT(AE126/AK126)&amp;" o "&amp;ROUNDUP(AE126/AK126,0)&amp;IF(A126="Tsue"," envases de 5 L."," porciones de 500 g."))</f>
        <v/>
      </c>
      <c r="AH126">
        <f>IF(COUNTA(A126:E126,H126:I126,K126:L126,N126)=0,0,IF(OR(NOT(ISNUMBER(B126)),B126&lt;'Por semana'!$C$45,B126&gt;'Por semana'!$J$46+6),1,0))</f>
        <v>0</v>
      </c>
      <c r="AI126">
        <f t="shared" si="44"/>
        <v>0</v>
      </c>
      <c r="AJ126">
        <f t="shared" si="45"/>
        <v>0</v>
      </c>
      <c r="AK126">
        <f>IF(R126=0,0,IFERROR(INDEX(criterio!$J$11:$J$22,R126)+0,0))</f>
        <v>0</v>
      </c>
      <c r="AL126" t="str">
        <f t="shared" si="46"/>
        <v/>
      </c>
      <c r="AM126" t="str">
        <f t="shared" si="47"/>
        <v/>
      </c>
    </row>
    <row r="127" spans="1:39" ht="31" customHeight="1">
      <c r="A127" s="11"/>
      <c r="B127" s="19"/>
      <c r="C127" s="19"/>
      <c r="D127" s="19"/>
      <c r="E127" s="19"/>
      <c r="F127" s="10" t="str">
        <f>IF(R127=0,"",INDEX(criterio!$B$11:$B$22,R127))</f>
        <v/>
      </c>
      <c r="G127" s="4" t="str">
        <f>IFERROR(IF(INDEX(criterio!$B$31:$B$111,MATCH(W127,criterio!$A$31:$A$111,0))=A127,INDEX(criterio!$C$31:$C$111,MATCH(W127,criterio!$A$31:$A$111,0)),""),"")</f>
        <v/>
      </c>
      <c r="H127" s="5"/>
      <c r="I127" s="5"/>
      <c r="J127" s="29" t="str">
        <f t="shared" si="36"/>
        <v/>
      </c>
      <c r="K127" s="20"/>
      <c r="L127" s="21"/>
      <c r="M127" s="5"/>
      <c r="N127" s="5"/>
      <c r="O127" s="6" t="str">
        <f t="shared" si="37"/>
        <v/>
      </c>
      <c r="P127" s="10" t="str">
        <f>IFERROR(IF(AND(INDEX(criterio!$I$31:$I$111,MATCH(W127,criterio!$A$31:$A$111,0))=1,INDEX(criterio!$B$31:$B$111,MATCH(W127,criterio!$A$31:$A$111,0))=A127,ISNUMBER(B127),B127&gt;=criterio!$B$5,D127&lt;=criterio!$B$6,E127&gt;=criterio!$B$5),"Fuera de la previa del 20/12",""),"")</f>
        <v/>
      </c>
      <c r="Q127" s="22" t="str">
        <f t="shared" si="38"/>
        <v/>
      </c>
      <c r="R127">
        <f>IFERROR(MATCH(A127,criterio!$A$11:$A$22,0),0)</f>
        <v>0</v>
      </c>
      <c r="S127" t="str">
        <f>IF(R127=0,"",INDEX(criterio!$E$11:$E$22,R127))</f>
        <v/>
      </c>
      <c r="T127" t="str">
        <f>IF(R127=0,"",INDEX(criterio!$C$11:$C$22,R127))</f>
        <v/>
      </c>
      <c r="U127" t="str">
        <f>IF(R127=0,"",INDEX(criterio!$D$11:$D$22,R127))</f>
        <v/>
      </c>
      <c r="V127">
        <f>IF(AND(ISNUMBER(B127),B127=Turno!$B$3,OR(AL127="Preparar",AL127="Completar")),MAX($V$8:V126)+1,0)</f>
        <v>0</v>
      </c>
      <c r="Y127" t="str">
        <f>IF(R127=0,"",INDEX(criterio!$I$11:$I$22,R127))</f>
        <v/>
      </c>
      <c r="Z127" t="str">
        <f t="shared" si="39"/>
        <v/>
      </c>
      <c r="AA127" t="str">
        <f>IF(OR(A127="",COUNT(B127:C127)&lt;&gt;2),"",IF(OR(WEEKDAY(B127,2)&gt;5,COUNTIF(criterio!$B$25:$E$25,B127)&gt;0),"Cambiar día de elaboración",IF(OR(WEEKDAY(C127,2)&gt;5,COUNTIF(criterio!$B$25:$E$25,C127)&gt;0),"Cambiar día de retiro",IF(SUMIF($B$9:$B$128,B127,$AD$9:$AD$128)&gt;criterio!$D$26,"Más de dos recetas",IF(OR(A127="",NOT(ISNUMBER(B127))),"",IF(OR(NOT(ISNUMBER($Q$2)),NOT(ISNUMBER($Q$3)),$Q$2&lt;=0,$Q$3&lt;=0),"Revisar topes de carga",IF(SUMIFS($Z$9:$Z$128,$B$9:$B$128,B127,$F$9:$F$128,"kg")/$Q$2+SUMIFS($Z$9:$Z$128,$B$9:$B$128,B127,$F$9:$F$128,"L")/$Q$3&gt;1.000001,"Repartir carga del día","")))))))</f>
        <v/>
      </c>
      <c r="AB127" t="str">
        <f>IF(COUNTA(A127:E127,H127:I127,K127:N127)=0,"",IF(R127=0,"Elegir producto",IF(COUNT(B127:E127)&lt;&gt;4,"Completar fechas",IF(E127&lt;D127,"Revisar días de uso",IF(C127+criterio!$B$3&gt;D127,"El retiro llega tarde",IF(AND(N127&lt;&gt;"",OR(NOT(ISNUMBER(N127)),N127&lt;0)),"Revisar cantidad hecha",IF(AND(M127&lt;&gt;"",OR(NOT(ISNUMBER(M127)),M127&lt;0)),"Revisar cant. a adelantar",IF(AND(AND(ISBLANK(H127),L127="Adelanto"),NOT(ISNUMBER(AM127))),"Cargar cant. a adelantar",IF(AND(AND(ISBLANK(H127),L127="Adelanto"),I127&lt;&gt;"",OR(NOT(ISNUMBER(I127)),I127&lt;&gt;0)),"Revisar stock del adelanto",IF(AND(ISNUMBER(N127),N127&gt;0,L127&lt;&gt;"Sí",L127&lt;&gt;"Adelanto",N(M127)&lt;=0),"Hecho sin liberar",IF(AND(ISBLANK(H127),L127&lt;&gt;"Adelanto",OR(I127&lt;&gt;"",L127="Sí")),"Falta pedido real",IF(AND(H127&lt;&gt;"",OR(NOT(ISNUMBER(H127)),H127&lt;0)),"Revisar pedido",IF(AND(ISNUMBER(H127),H127=0,N(M127)&gt;0,N(N127)&gt;0,N(I127)=0),"Reasignar sobrante",IF(AND(ISNUMBER(H127),H127=0,OR(N127&gt;0,I127&gt;0)),"Revisar pedido y cantidades",IF(AND(ISNUMBER(H127),H127=0),"Sin pedido",IF(AND(ISNUMBER(H127),ISBLANK(I127)),"Falta anotar stock",IF(AND(I127&lt;&gt;"",OR(NOT(ISNUMBER(I127)),I127&lt;0,AND(ISNUMBER(H127),I127&gt;H127))),"Revisar stock asignado",IF(AND(ISNUMBER(I127),I127&gt;0,NOT(ISNUMBER(K127))),"Falta vencimiento de stock",IF(AND(ISNUMBER(I127),I127&gt;0,K127&lt;E127+criterio!$B$4),"El stock no cubre el uso",IF(AND(ISNUMBER(H127),ISNUMBER(I127),H127=I127,OR(N127="",N127=0)),"Cubierto con stock",IF(B127=criterio!$B$25,"Jornada bloqueada",IF(B127+S127&gt;C127,"No llega al retiro",IF(Q127&lt;E127,"Vence antes del último uso",IF(Q127&lt;E127+criterio!$B$4,"Falta margen de vida útil",IF(AND(ISBLANK(H127),L127&lt;&gt;"Adelanto",N(N127)&gt;0,N(M127)&gt;0),"Adelanto en pausa",IF(NOT(ISNUMBER(AM127)),"Previsión",IF(AND(ISNUMBER(H127),N(M127)&gt;0,N(N127)&gt;ROUND(H127-N(I127),3)),"Reasignar sobrante",IF(AND(ISNUMBER(N127),N127&gt;ROUND(AM127-N(I127),3)),"Revisar excedente",IF(AND(ISNUMBER(H127),L127&lt;&gt;"Sí",NOT(AND(N(M127)&gt;0,J127=0))),"Por confirmar",IF(J127=0,"Hecho",IF(AND(ISNUMBER(N127),N127&gt;0),"Completar","Preparar")))))))))))))))))))))))))))))))</f>
        <v/>
      </c>
      <c r="AC127">
        <f t="shared" si="40"/>
        <v>0</v>
      </c>
      <c r="AD127">
        <f>IF(OR(NOT(ISNUMBER(B127)),A127="",NOT(ISNUMBER(Z127)),Z127&lt;=0),0,IF(COUNTIFS($A$9:A127,A127,$B$9:B127,B127,$Z$9:Z127,"&gt;0")=1,1,0))</f>
        <v>0</v>
      </c>
      <c r="AE127">
        <f t="shared" si="41"/>
        <v>0</v>
      </c>
      <c r="AF127">
        <f t="shared" si="42"/>
        <v>0</v>
      </c>
      <c r="AG127" t="str">
        <f>IF(OR(AF127=0,AK127&lt;=0),"",IF(A127="Tsue","Retiro: ","Tanda: ")&amp;ROUND(AE127,3)&amp;" "&amp;F127&amp;". Acordar "&amp;INT(AE127/AK127)&amp;" o "&amp;ROUNDUP(AE127/AK127,0)&amp;IF(A127="Tsue"," envases de 5 L."," porciones de 500 g."))</f>
        <v/>
      </c>
      <c r="AH127">
        <f>IF(COUNTA(A127:E127,H127:I127,K127:L127,N127)=0,0,IF(OR(NOT(ISNUMBER(B127)),B127&lt;'Por semana'!$C$45,B127&gt;'Por semana'!$J$46+6),1,0))</f>
        <v>0</v>
      </c>
      <c r="AI127">
        <f t="shared" si="44"/>
        <v>0</v>
      </c>
      <c r="AJ127">
        <f t="shared" si="45"/>
        <v>0</v>
      </c>
      <c r="AK127">
        <f>IF(R127=0,0,IFERROR(INDEX(criterio!$J$11:$J$22,R127)+0,0))</f>
        <v>0</v>
      </c>
      <c r="AL127" t="str">
        <f t="shared" si="46"/>
        <v/>
      </c>
      <c r="AM127" t="str">
        <f t="shared" si="47"/>
        <v/>
      </c>
    </row>
    <row r="128" spans="1:39" ht="31" customHeight="1">
      <c r="A128" s="11"/>
      <c r="B128" s="19"/>
      <c r="C128" s="19"/>
      <c r="D128" s="19"/>
      <c r="E128" s="19"/>
      <c r="F128" s="10" t="str">
        <f>IF(R128=0,"",INDEX(criterio!$B$11:$B$22,R128))</f>
        <v/>
      </c>
      <c r="G128" s="4" t="str">
        <f>IFERROR(IF(INDEX(criterio!$B$31:$B$111,MATCH(W128,criterio!$A$31:$A$111,0))=A128,INDEX(criterio!$C$31:$C$111,MATCH(W128,criterio!$A$31:$A$111,0)),""),"")</f>
        <v/>
      </c>
      <c r="H128" s="5"/>
      <c r="I128" s="5"/>
      <c r="J128" s="29" t="str">
        <f t="shared" si="36"/>
        <v/>
      </c>
      <c r="K128" s="20"/>
      <c r="L128" s="21"/>
      <c r="M128" s="5"/>
      <c r="N128" s="5"/>
      <c r="O128" s="6" t="str">
        <f t="shared" si="37"/>
        <v/>
      </c>
      <c r="P128" s="10" t="str">
        <f>IFERROR(IF(AND(INDEX(criterio!$I$31:$I$111,MATCH(W128,criterio!$A$31:$A$111,0))=1,INDEX(criterio!$B$31:$B$111,MATCH(W128,criterio!$A$31:$A$111,0))=A128,ISNUMBER(B128),B128&gt;=criterio!$B$5,D128&lt;=criterio!$B$6,E128&gt;=criterio!$B$5),"Fuera de la previa del 20/12",""),"")</f>
        <v/>
      </c>
      <c r="Q128" s="22" t="str">
        <f t="shared" si="38"/>
        <v/>
      </c>
      <c r="R128">
        <f>IFERROR(MATCH(A128,criterio!$A$11:$A$22,0),0)</f>
        <v>0</v>
      </c>
      <c r="S128" t="str">
        <f>IF(R128=0,"",INDEX(criterio!$E$11:$E$22,R128))</f>
        <v/>
      </c>
      <c r="T128" t="str">
        <f>IF(R128=0,"",INDEX(criterio!$C$11:$C$22,R128))</f>
        <v/>
      </c>
      <c r="U128" t="str">
        <f>IF(R128=0,"",INDEX(criterio!$D$11:$D$22,R128))</f>
        <v/>
      </c>
      <c r="V128">
        <f>IF(AND(ISNUMBER(B128),B128=Turno!$B$3,OR(AL128="Preparar",AL128="Completar")),MAX($V$8:V127)+1,0)</f>
        <v>0</v>
      </c>
      <c r="Y128" t="str">
        <f>IF(R128=0,"",INDEX(criterio!$I$11:$I$22,R128))</f>
        <v/>
      </c>
      <c r="Z128" t="str">
        <f t="shared" si="39"/>
        <v/>
      </c>
      <c r="AA128" t="str">
        <f>IF(OR(A128="",COUNT(B128:C128)&lt;&gt;2),"",IF(OR(WEEKDAY(B128,2)&gt;5,COUNTIF(criterio!$B$25:$E$25,B128)&gt;0),"Cambiar día de elaboración",IF(OR(WEEKDAY(C128,2)&gt;5,COUNTIF(criterio!$B$25:$E$25,C128)&gt;0),"Cambiar día de retiro",IF(SUMIF($B$9:$B$128,B128,$AD$9:$AD$128)&gt;criterio!$D$26,"Más de dos recetas",IF(OR(A128="",NOT(ISNUMBER(B128))),"",IF(OR(NOT(ISNUMBER($Q$2)),NOT(ISNUMBER($Q$3)),$Q$2&lt;=0,$Q$3&lt;=0),"Revisar topes de carga",IF(SUMIFS($Z$9:$Z$128,$B$9:$B$128,B128,$F$9:$F$128,"kg")/$Q$2+SUMIFS($Z$9:$Z$128,$B$9:$B$128,B128,$F$9:$F$128,"L")/$Q$3&gt;1.000001,"Repartir carga del día","")))))))</f>
        <v/>
      </c>
      <c r="AB128" t="str">
        <f>IF(COUNTA(A128:E128,H128:I128,K128:N128)=0,"",IF(R128=0,"Elegir producto",IF(COUNT(B128:E128)&lt;&gt;4,"Completar fechas",IF(E128&lt;D128,"Revisar días de uso",IF(C128+criterio!$B$3&gt;D128,"El retiro llega tarde",IF(AND(N128&lt;&gt;"",OR(NOT(ISNUMBER(N128)),N128&lt;0)),"Revisar cantidad hecha",IF(AND(M128&lt;&gt;"",OR(NOT(ISNUMBER(M128)),M128&lt;0)),"Revisar cant. a adelantar",IF(AND(AND(ISBLANK(H128),L128="Adelanto"),NOT(ISNUMBER(AM128))),"Cargar cant. a adelantar",IF(AND(AND(ISBLANK(H128),L128="Adelanto"),I128&lt;&gt;"",OR(NOT(ISNUMBER(I128)),I128&lt;&gt;0)),"Revisar stock del adelanto",IF(AND(ISNUMBER(N128),N128&gt;0,L128&lt;&gt;"Sí",L128&lt;&gt;"Adelanto",N(M128)&lt;=0),"Hecho sin liberar",IF(AND(ISBLANK(H128),L128&lt;&gt;"Adelanto",OR(I128&lt;&gt;"",L128="Sí")),"Falta pedido real",IF(AND(H128&lt;&gt;"",OR(NOT(ISNUMBER(H128)),H128&lt;0)),"Revisar pedido",IF(AND(ISNUMBER(H128),H128=0,N(M128)&gt;0,N(N128)&gt;0,N(I128)=0),"Reasignar sobrante",IF(AND(ISNUMBER(H128),H128=0,OR(N128&gt;0,I128&gt;0)),"Revisar pedido y cantidades",IF(AND(ISNUMBER(H128),H128=0),"Sin pedido",IF(AND(ISNUMBER(H128),ISBLANK(I128)),"Falta anotar stock",IF(AND(I128&lt;&gt;"",OR(NOT(ISNUMBER(I128)),I128&lt;0,AND(ISNUMBER(H128),I128&gt;H128))),"Revisar stock asignado",IF(AND(ISNUMBER(I128),I128&gt;0,NOT(ISNUMBER(K128))),"Falta vencimiento de stock",IF(AND(ISNUMBER(I128),I128&gt;0,K128&lt;E128+criterio!$B$4),"El stock no cubre el uso",IF(AND(ISNUMBER(H128),ISNUMBER(I128),H128=I128,OR(N128="",N128=0)),"Cubierto con stock",IF(B128=criterio!$B$25,"Jornada bloqueada",IF(B128+S128&gt;C128,"No llega al retiro",IF(Q128&lt;E128,"Vence antes del último uso",IF(Q128&lt;E128+criterio!$B$4,"Falta margen de vida útil",IF(AND(ISBLANK(H128),L128&lt;&gt;"Adelanto",N(N128)&gt;0,N(M128)&gt;0),"Adelanto en pausa",IF(NOT(ISNUMBER(AM128)),"Previsión",IF(AND(ISNUMBER(H128),N(M128)&gt;0,N(N128)&gt;ROUND(H128-N(I128),3)),"Reasignar sobrante",IF(AND(ISNUMBER(N128),N128&gt;ROUND(AM128-N(I128),3)),"Revisar excedente",IF(AND(ISNUMBER(H128),L128&lt;&gt;"Sí",NOT(AND(N(M128)&gt;0,J128=0))),"Por confirmar",IF(J128=0,"Hecho",IF(AND(ISNUMBER(N128),N128&gt;0),"Completar","Preparar")))))))))))))))))))))))))))))))</f>
        <v/>
      </c>
      <c r="AC128">
        <f t="shared" si="40"/>
        <v>0</v>
      </c>
      <c r="AD128">
        <f>IF(OR(NOT(ISNUMBER(B128)),A128="",NOT(ISNUMBER(Z128)),Z128&lt;=0),0,IF(COUNTIFS($A$9:A128,A128,$B$9:B128,B128,$Z$9:Z128,"&gt;0")=1,1,0))</f>
        <v>0</v>
      </c>
      <c r="AE128">
        <f t="shared" si="41"/>
        <v>0</v>
      </c>
      <c r="AF128">
        <f t="shared" si="42"/>
        <v>0</v>
      </c>
      <c r="AG128" t="str">
        <f>IF(OR(AF128=0,AK128&lt;=0),"",IF(A128="Tsue","Retiro: ","Tanda: ")&amp;ROUND(AE128,3)&amp;" "&amp;F128&amp;". Acordar "&amp;INT(AE128/AK128)&amp;" o "&amp;ROUNDUP(AE128/AK128,0)&amp;IF(A128="Tsue"," envases de 5 L."," porciones de 500 g."))</f>
        <v/>
      </c>
      <c r="AH128">
        <f>IF(COUNTA(A128:E128,H128:I128,K128:L128,N128)=0,0,IF(OR(NOT(ISNUMBER(B128)),B128&lt;'Por semana'!$C$45,B128&gt;'Por semana'!$J$46+6),1,0))</f>
        <v>0</v>
      </c>
      <c r="AI128">
        <f t="shared" si="44"/>
        <v>0</v>
      </c>
      <c r="AJ128">
        <f t="shared" si="45"/>
        <v>0</v>
      </c>
      <c r="AK128">
        <f>IF(R128=0,0,IFERROR(INDEX(criterio!$J$11:$J$22,R128)+0,0))</f>
        <v>0</v>
      </c>
      <c r="AL128" t="str">
        <f t="shared" si="46"/>
        <v/>
      </c>
      <c r="AM128" t="str">
        <f t="shared" si="47"/>
        <v/>
      </c>
    </row>
  </sheetData>
  <mergeCells count="7">
    <mergeCell ref="A6:O6"/>
    <mergeCell ref="A7:O7"/>
    <mergeCell ref="A1:O1"/>
    <mergeCell ref="A2:O2"/>
    <mergeCell ref="A3:O3"/>
    <mergeCell ref="A4:O4"/>
    <mergeCell ref="A5:O5"/>
  </mergeCells>
  <conditionalFormatting sqref="G9:J128">
    <cfRule type="expression" dxfId="10" priority="5">
      <formula>$F9="kg"</formula>
    </cfRule>
    <cfRule type="expression" dxfId="9" priority="6">
      <formula>$F9="L"</formula>
    </cfRule>
  </conditionalFormatting>
  <conditionalFormatting sqref="N9:N128">
    <cfRule type="expression" dxfId="8" priority="13">
      <formula>$F9="kg"</formula>
    </cfRule>
    <cfRule type="expression" dxfId="7" priority="14">
      <formula>$F9="L"</formula>
    </cfRule>
  </conditionalFormatting>
  <conditionalFormatting sqref="O9:O128">
    <cfRule type="expression" dxfId="6" priority="2">
      <formula>OR($AL9="Preparar",$AL9="Completar")</formula>
    </cfRule>
    <cfRule type="expression" dxfId="5" priority="3">
      <formula>$AL9="Previsión"</formula>
    </cfRule>
    <cfRule type="expression" dxfId="4" priority="4">
      <formula>AND($AL9&lt;&gt;"",$AL9&lt;&gt;"Previsión",$AL9&lt;&gt;"Preparar",$AL9&lt;&gt;"Completar",$AL9&lt;&gt;"Hecho",$AL9&lt;&gt;"Sin pedido",$AL9&lt;&gt;"Cubierto con stock",$AL9&lt;&gt;"Por confirmar")</formula>
    </cfRule>
  </conditionalFormatting>
  <conditionalFormatting sqref="P9:P128">
    <cfRule type="expression" dxfId="3" priority="1">
      <formula>$P9&lt;&gt;""</formula>
    </cfRule>
  </conditionalFormatting>
  <dataValidations count="7">
    <dataValidation type="list" sqref="A9:A128" xr:uid="{00000000-0002-0000-0100-000000000000}">
      <formula1>"Manteca Batayaki,Manteca Hisosu,Furikake,Furilot,Pachikay,Umami,Gari,Tsue,Salsa Teriyaki,Salsa Nori,Base Ponzu,Mayo Spicy"</formula1>
    </dataValidation>
    <dataValidation type="list" allowBlank="1" showErrorMessage="1" sqref="L9:L128" xr:uid="{00000000-0002-0000-0100-000001000000}">
      <formula1>"Sí,No,Adelanto"</formula1>
    </dataValidation>
    <dataValidation type="decimal" operator="greaterThanOrEqual" sqref="N9:N128 H9:I128" xr:uid="{00000000-0002-0000-0100-000002000000}">
      <formula1>0</formula1>
    </dataValidation>
    <dataValidation type="date" sqref="B9:E128 K9:K128" xr:uid="{00000000-0002-0000-0100-000005000000}">
      <formula1>43831</formula1>
      <formula2>73415</formula2>
    </dataValidation>
    <dataValidation type="decimal" operator="greaterThan" sqref="Q2:Q3" xr:uid="{00000000-0002-0000-0100-000007000000}">
      <formula1>0</formula1>
    </dataValidation>
    <dataValidation type="list" sqref="Q4" xr:uid="{00000000-0002-0000-0100-000008000000}">
      <formula1>"Pendiente,Cubierta,Sin servicio"</formula1>
    </dataValidation>
    <dataValidation type="decimal" operator="greaterThanOrEqual" allowBlank="1" showErrorMessage="1" sqref="M9:M128" xr:uid="{00000000-0002-0000-0100-000009000000}">
      <formula1>0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14735"/>
    <pageSetUpPr fitToPage="1"/>
  </sheetPr>
  <dimension ref="A1:Q128"/>
  <sheetViews>
    <sheetView showGridLines="0" zoomScale="80" workbookViewId="0"/>
  </sheetViews>
  <sheetFormatPr baseColWidth="10" defaultColWidth="8.83203125" defaultRowHeight="15"/>
  <cols>
    <col min="1" max="1" width="24" customWidth="1"/>
    <col min="2" max="2" width="7" customWidth="1"/>
    <col min="3" max="10" width="13" customWidth="1"/>
    <col min="12" max="17" width="12" hidden="1" customWidth="1"/>
  </cols>
  <sheetData>
    <row r="1" spans="1:17" ht="32" customHeight="1">
      <c r="A1" s="66" t="s">
        <v>126</v>
      </c>
      <c r="B1" s="66"/>
      <c r="C1" s="66"/>
      <c r="D1" s="66"/>
      <c r="E1" s="66"/>
      <c r="F1" s="66"/>
      <c r="G1" s="66"/>
      <c r="H1" s="66"/>
      <c r="I1" s="66"/>
      <c r="J1" s="66"/>
    </row>
    <row r="2" spans="1:17" ht="38" customHeight="1">
      <c r="A2" s="61" t="s">
        <v>127</v>
      </c>
      <c r="B2" s="61"/>
      <c r="C2" s="61"/>
      <c r="D2" s="61"/>
      <c r="E2" s="61"/>
      <c r="F2" s="61"/>
      <c r="G2" s="61"/>
      <c r="H2" s="61"/>
      <c r="I2" s="61"/>
      <c r="J2" s="61"/>
    </row>
    <row r="3" spans="1:17" ht="24" customHeight="1">
      <c r="A3" s="61" t="str">
        <f>IF(Encargado!$AH$4&lt;&gt;"",Encargado!$AH$4,"Antes del pedido, ves cuánto queda por cubrir de la previsión. Al confirmarlo, ves cuánto falta hacer. Si dice «Revisar», mirá Encargado.")</f>
        <v>Antes del pedido, ves cuánto queda por cubrir de la previsión. Al confirmarlo, ves cuánto falta hacer. Si dice «Revisar», mirá Encargado.</v>
      </c>
      <c r="B3" s="61"/>
      <c r="C3" s="61"/>
      <c r="D3" s="61"/>
      <c r="E3" s="61"/>
      <c r="F3" s="61"/>
      <c r="G3" s="61"/>
      <c r="H3" s="61"/>
      <c r="I3" s="61"/>
      <c r="J3" s="61"/>
    </row>
    <row r="4" spans="1:17" ht="25" customHeight="1">
      <c r="A4" s="62" t="str">
        <f>Encargado!$AH$5</f>
        <v>Apertura 30/11 pendiente: confirmar si hay servicio y con qué stock o pedido se cubre.</v>
      </c>
      <c r="B4" s="62"/>
      <c r="C4" s="62"/>
      <c r="D4" s="62"/>
      <c r="E4" s="62"/>
      <c r="F4" s="62"/>
      <c r="G4" s="62"/>
      <c r="H4" s="62"/>
      <c r="I4" s="62"/>
      <c r="J4" s="62"/>
    </row>
    <row r="5" spans="1:17" ht="28" customHeight="1">
      <c r="A5" s="10"/>
      <c r="B5" s="10"/>
      <c r="C5" s="64" t="s">
        <v>128</v>
      </c>
      <c r="D5" s="64"/>
      <c r="E5" s="64"/>
      <c r="F5" s="64"/>
      <c r="G5" s="64"/>
      <c r="H5" s="64"/>
      <c r="I5" s="63" t="s">
        <v>129</v>
      </c>
      <c r="J5" s="63"/>
    </row>
    <row r="6" spans="1:17" ht="34" customHeight="1">
      <c r="A6" s="12" t="s">
        <v>18</v>
      </c>
      <c r="B6" s="12" t="s">
        <v>22</v>
      </c>
      <c r="C6" s="12" t="str">
        <f t="shared" ref="C6:J6" si="0">TEXT(C45,"dd/mm")&amp;" al"&amp;CHAR(10)&amp;TEXT(C45+6,"dd/mm")</f>
        <v>09/11 al
15/11</v>
      </c>
      <c r="D6" s="12" t="str">
        <f t="shared" si="0"/>
        <v>16/11 al
22/11</v>
      </c>
      <c r="E6" s="12" t="str">
        <f t="shared" si="0"/>
        <v>23/11 al
29/11</v>
      </c>
      <c r="F6" s="12" t="str">
        <f t="shared" si="0"/>
        <v>30/11 al
06/12</v>
      </c>
      <c r="G6" s="12" t="str">
        <f t="shared" si="0"/>
        <v>07/12 al
13/12</v>
      </c>
      <c r="H6" s="12" t="str">
        <f t="shared" si="0"/>
        <v>14/12 al
20/12</v>
      </c>
      <c r="I6" s="13" t="str">
        <f t="shared" si="0"/>
        <v>21/12 al
27/12</v>
      </c>
      <c r="J6" s="13" t="str">
        <f t="shared" si="0"/>
        <v>28/12 al
03/01</v>
      </c>
    </row>
    <row r="7" spans="1:17" ht="24" customHeight="1">
      <c r="A7" s="15" t="s">
        <v>34</v>
      </c>
      <c r="B7" s="15" t="s">
        <v>130</v>
      </c>
      <c r="C7" s="16">
        <f t="shared" ref="C7:J18" si="1">IF(SUMIFS($P$9:$P$128,$L$9:$L$128,$A7,$M$9:$M$128,C$45)&gt;0,"Revisar",IF(SUMIFS($O$9:$O$128,$L$9:$L$128,$A7,$M$9:$M$128,C$45)=0,"",ROUND(SUMIFS($O$9:$O$128,$L$9:$L$128,$A7,$M$9:$M$128,C$45),3)))</f>
        <v>18</v>
      </c>
      <c r="D7" s="16" t="str">
        <f t="shared" si="1"/>
        <v/>
      </c>
      <c r="E7" s="16" t="str">
        <f t="shared" si="1"/>
        <v/>
      </c>
      <c r="F7" s="16">
        <f t="shared" si="1"/>
        <v>17</v>
      </c>
      <c r="G7" s="16">
        <f t="shared" si="1"/>
        <v>14</v>
      </c>
      <c r="H7" s="16" t="str">
        <f t="shared" si="1"/>
        <v/>
      </c>
      <c r="I7" s="16" t="str">
        <f t="shared" si="1"/>
        <v/>
      </c>
      <c r="J7" s="16" t="str">
        <f t="shared" si="1"/>
        <v/>
      </c>
    </row>
    <row r="8" spans="1:17" ht="24" customHeight="1">
      <c r="A8" s="10" t="s">
        <v>37</v>
      </c>
      <c r="B8" s="10" t="s">
        <v>130</v>
      </c>
      <c r="C8" s="14">
        <f t="shared" si="1"/>
        <v>18</v>
      </c>
      <c r="D8" s="14" t="str">
        <f t="shared" si="1"/>
        <v/>
      </c>
      <c r="E8" s="14" t="str">
        <f t="shared" si="1"/>
        <v/>
      </c>
      <c r="F8" s="14">
        <f t="shared" si="1"/>
        <v>14</v>
      </c>
      <c r="G8" s="14">
        <f t="shared" si="1"/>
        <v>14</v>
      </c>
      <c r="H8" s="14" t="str">
        <f t="shared" si="1"/>
        <v/>
      </c>
      <c r="I8" s="14" t="str">
        <f t="shared" si="1"/>
        <v/>
      </c>
      <c r="J8" s="14" t="str">
        <f t="shared" si="1"/>
        <v/>
      </c>
    </row>
    <row r="9" spans="1:17" ht="24" customHeight="1">
      <c r="A9" s="15" t="s">
        <v>42</v>
      </c>
      <c r="B9" s="15" t="s">
        <v>130</v>
      </c>
      <c r="C9" s="16" t="str">
        <f t="shared" si="1"/>
        <v/>
      </c>
      <c r="D9" s="16">
        <f t="shared" si="1"/>
        <v>14</v>
      </c>
      <c r="E9" s="16" t="str">
        <f t="shared" si="1"/>
        <v/>
      </c>
      <c r="F9" s="16" t="str">
        <f t="shared" si="1"/>
        <v/>
      </c>
      <c r="G9" s="16" t="str">
        <f t="shared" si="1"/>
        <v/>
      </c>
      <c r="H9" s="16">
        <f t="shared" si="1"/>
        <v>3</v>
      </c>
      <c r="I9" s="16" t="str">
        <f t="shared" si="1"/>
        <v/>
      </c>
      <c r="J9" s="16" t="str">
        <f t="shared" si="1"/>
        <v/>
      </c>
      <c r="L9" t="str">
        <f>IF(Encargado!A9="","",Encargado!A9)</f>
        <v>Manteca Batayaki</v>
      </c>
      <c r="M9">
        <f>IF(ISNUMBER(Encargado!B9),Encargado!B9-WEEKDAY(Encargado!B9,2)+1,0)</f>
        <v>46335</v>
      </c>
      <c r="N9">
        <f>IF(AND(L9&lt;&gt;"",ISNUMBER(Encargado!B9)),1,0)</f>
        <v>1</v>
      </c>
      <c r="O9">
        <f>IF(OR(N9=0,P9=1),0,IF(ISBLANK(Encargado!H9),MAX(0,ROUND(N(Encargado!G9)-N(Encargado!N9),3),N(Encargado!J9)),N(Encargado!J9)))</f>
        <v>5</v>
      </c>
      <c r="P9">
        <f>IF(N9=0,0,IF(AND(OR(Encargado!AL9="Previsión",Encargado!AL9="Por confirmar",AND(Encargado!AL9="Adelanto en pausa",ISNUMBER(Encargado!G9),Encargado!AA9=""),Encargado!AL9="Preparar",Encargado!AL9="Completar",Encargado!AL9="Hecho",Encargado!AL9="Cubierto con stock",Encargado!AL9="Sin pedido"),OR(Encargado!AL9&lt;&gt;"Previsión",ISNUMBER(Encargado!G9))),0,1))</f>
        <v>0</v>
      </c>
      <c r="Q9">
        <f>IF(AND(N9=1,Encargado!P9&lt;&gt;""),1,0)</f>
        <v>0</v>
      </c>
    </row>
    <row r="10" spans="1:17" ht="24" customHeight="1">
      <c r="A10" s="10" t="s">
        <v>46</v>
      </c>
      <c r="B10" s="10" t="s">
        <v>130</v>
      </c>
      <c r="C10" s="14" t="str">
        <f t="shared" si="1"/>
        <v/>
      </c>
      <c r="D10" s="14">
        <f t="shared" si="1"/>
        <v>7</v>
      </c>
      <c r="E10" s="14" t="str">
        <f t="shared" si="1"/>
        <v/>
      </c>
      <c r="F10" s="14" t="str">
        <f t="shared" si="1"/>
        <v/>
      </c>
      <c r="G10" s="14" t="str">
        <f t="shared" si="1"/>
        <v/>
      </c>
      <c r="H10" s="14" t="str">
        <f t="shared" si="1"/>
        <v/>
      </c>
      <c r="I10" s="14">
        <f t="shared" si="1"/>
        <v>3</v>
      </c>
      <c r="J10" s="14" t="str">
        <f t="shared" si="1"/>
        <v/>
      </c>
      <c r="L10" t="str">
        <f>IF(Encargado!A10="","",Encargado!A10)</f>
        <v>Manteca Batayaki</v>
      </c>
      <c r="M10">
        <f>IF(ISNUMBER(Encargado!B10),Encargado!B10-WEEKDAY(Encargado!B10,2)+1,0)</f>
        <v>46335</v>
      </c>
      <c r="N10">
        <f>IF(AND(L10&lt;&gt;"",ISNUMBER(Encargado!B10)),1,0)</f>
        <v>1</v>
      </c>
      <c r="O10">
        <f>IF(OR(N10=0,P10=1),0,IF(ISBLANK(Encargado!H10),MAX(0,ROUND(N(Encargado!G10)-N(Encargado!N10),3),N(Encargado!J10)),N(Encargado!J10)))</f>
        <v>13</v>
      </c>
      <c r="P10">
        <f>IF(N10=0,0,IF(AND(OR(Encargado!AL10="Previsión",Encargado!AL10="Por confirmar",AND(Encargado!AL10="Adelanto en pausa",ISNUMBER(Encargado!G10),Encargado!AA10=""),Encargado!AL10="Preparar",Encargado!AL10="Completar",Encargado!AL10="Hecho",Encargado!AL10="Cubierto con stock",Encargado!AL10="Sin pedido"),OR(Encargado!AL10&lt;&gt;"Previsión",ISNUMBER(Encargado!G10))),0,1))</f>
        <v>0</v>
      </c>
      <c r="Q10">
        <f>IF(AND(N10=1,Encargado!P10&lt;&gt;""),1,0)</f>
        <v>0</v>
      </c>
    </row>
    <row r="11" spans="1:17" ht="24" customHeight="1">
      <c r="A11" s="15" t="s">
        <v>55</v>
      </c>
      <c r="B11" s="15" t="s">
        <v>130</v>
      </c>
      <c r="C11" s="16" t="str">
        <f t="shared" si="1"/>
        <v/>
      </c>
      <c r="D11" s="16" t="str">
        <f t="shared" si="1"/>
        <v/>
      </c>
      <c r="E11" s="16">
        <f t="shared" si="1"/>
        <v>8</v>
      </c>
      <c r="F11" s="16">
        <f t="shared" si="1"/>
        <v>8</v>
      </c>
      <c r="G11" s="16" t="str">
        <f t="shared" si="1"/>
        <v/>
      </c>
      <c r="H11" s="16">
        <f t="shared" si="1"/>
        <v>4</v>
      </c>
      <c r="I11" s="16" t="str">
        <f t="shared" si="1"/>
        <v/>
      </c>
      <c r="J11" s="16" t="str">
        <f t="shared" si="1"/>
        <v/>
      </c>
      <c r="L11" t="str">
        <f>IF(Encargado!A11="","",Encargado!A11)</f>
        <v>Manteca Hisosu</v>
      </c>
      <c r="M11">
        <f>IF(ISNUMBER(Encargado!B11),Encargado!B11-WEEKDAY(Encargado!B11,2)+1,0)</f>
        <v>46335</v>
      </c>
      <c r="N11">
        <f>IF(AND(L11&lt;&gt;"",ISNUMBER(Encargado!B11)),1,0)</f>
        <v>1</v>
      </c>
      <c r="O11">
        <f>IF(OR(N11=0,P11=1),0,IF(ISBLANK(Encargado!H11),MAX(0,ROUND(N(Encargado!G11)-N(Encargado!N11),3),N(Encargado!J11)),N(Encargado!J11)))</f>
        <v>5</v>
      </c>
      <c r="P11">
        <f>IF(N11=0,0,IF(AND(OR(Encargado!AL11="Previsión",Encargado!AL11="Por confirmar",AND(Encargado!AL11="Adelanto en pausa",ISNUMBER(Encargado!G11),Encargado!AA11=""),Encargado!AL11="Preparar",Encargado!AL11="Completar",Encargado!AL11="Hecho",Encargado!AL11="Cubierto con stock",Encargado!AL11="Sin pedido"),OR(Encargado!AL11&lt;&gt;"Previsión",ISNUMBER(Encargado!G11))),0,1))</f>
        <v>0</v>
      </c>
      <c r="Q11">
        <f>IF(AND(N11=1,Encargado!P11&lt;&gt;""),1,0)</f>
        <v>0</v>
      </c>
    </row>
    <row r="12" spans="1:17" ht="24" customHeight="1">
      <c r="A12" s="10" t="s">
        <v>65</v>
      </c>
      <c r="B12" s="10" t="s">
        <v>130</v>
      </c>
      <c r="C12" s="14" t="str">
        <f t="shared" si="1"/>
        <v/>
      </c>
      <c r="D12" s="14" t="str">
        <f t="shared" si="1"/>
        <v/>
      </c>
      <c r="E12" s="14">
        <f t="shared" si="1"/>
        <v>10</v>
      </c>
      <c r="F12" s="14">
        <f t="shared" si="1"/>
        <v>24</v>
      </c>
      <c r="G12" s="14" t="str">
        <f t="shared" si="1"/>
        <v/>
      </c>
      <c r="H12" s="14">
        <f t="shared" si="1"/>
        <v>38</v>
      </c>
      <c r="I12" s="14" t="str">
        <f t="shared" si="1"/>
        <v/>
      </c>
      <c r="J12" s="14" t="str">
        <f t="shared" si="1"/>
        <v/>
      </c>
      <c r="L12" t="str">
        <f>IF(Encargado!A12="","",Encargado!A12)</f>
        <v>Manteca Hisosu</v>
      </c>
      <c r="M12">
        <f>IF(ISNUMBER(Encargado!B12),Encargado!B12-WEEKDAY(Encargado!B12,2)+1,0)</f>
        <v>46335</v>
      </c>
      <c r="N12">
        <f>IF(AND(L12&lt;&gt;"",ISNUMBER(Encargado!B12)),1,0)</f>
        <v>1</v>
      </c>
      <c r="O12">
        <f>IF(OR(N12=0,P12=1),0,IF(ISBLANK(Encargado!H12),MAX(0,ROUND(N(Encargado!G12)-N(Encargado!N12),3),N(Encargado!J12)),N(Encargado!J12)))</f>
        <v>13</v>
      </c>
      <c r="P12">
        <f>IF(N12=0,0,IF(AND(OR(Encargado!AL12="Previsión",Encargado!AL12="Por confirmar",AND(Encargado!AL12="Adelanto en pausa",ISNUMBER(Encargado!G12),Encargado!AA12=""),Encargado!AL12="Preparar",Encargado!AL12="Completar",Encargado!AL12="Hecho",Encargado!AL12="Cubierto con stock",Encargado!AL12="Sin pedido"),OR(Encargado!AL12&lt;&gt;"Previsión",ISNUMBER(Encargado!G12))),0,1))</f>
        <v>0</v>
      </c>
      <c r="Q12">
        <f>IF(AND(N12=1,Encargado!P12&lt;&gt;""),1,0)</f>
        <v>0</v>
      </c>
    </row>
    <row r="13" spans="1:17" ht="24" customHeight="1">
      <c r="A13" s="15" t="s">
        <v>70</v>
      </c>
      <c r="B13" s="15" t="s">
        <v>131</v>
      </c>
      <c r="C13" s="16" t="str">
        <f t="shared" si="1"/>
        <v/>
      </c>
      <c r="D13" s="16" t="str">
        <f t="shared" si="1"/>
        <v/>
      </c>
      <c r="E13" s="16" t="str">
        <f t="shared" si="1"/>
        <v/>
      </c>
      <c r="F13" s="16" t="str">
        <f t="shared" si="1"/>
        <v/>
      </c>
      <c r="G13" s="16">
        <f t="shared" si="1"/>
        <v>5</v>
      </c>
      <c r="H13" s="16">
        <f t="shared" si="1"/>
        <v>3</v>
      </c>
      <c r="I13" s="16" t="str">
        <f t="shared" si="1"/>
        <v/>
      </c>
      <c r="J13" s="16" t="str">
        <f t="shared" si="1"/>
        <v/>
      </c>
      <c r="L13" t="str">
        <f>IF(Encargado!A13="","",Encargado!A13)</f>
        <v>Tsue</v>
      </c>
      <c r="M13">
        <f>IF(ISNUMBER(Encargado!B13),Encargado!B13-WEEKDAY(Encargado!B13,2)+1,0)</f>
        <v>46342</v>
      </c>
      <c r="N13">
        <f>IF(AND(L13&lt;&gt;"",ISNUMBER(Encargado!B13)),1,0)</f>
        <v>1</v>
      </c>
      <c r="O13">
        <f>IF(OR(N13=0,P13=1),0,IF(ISBLANK(Encargado!H13),MAX(0,ROUND(N(Encargado!G13)-N(Encargado!N13),3),N(Encargado!J13)),N(Encargado!J13)))</f>
        <v>20</v>
      </c>
      <c r="P13">
        <f>IF(N13=0,0,IF(AND(OR(Encargado!AL13="Previsión",Encargado!AL13="Por confirmar",AND(Encargado!AL13="Adelanto en pausa",ISNUMBER(Encargado!G13),Encargado!AA13=""),Encargado!AL13="Preparar",Encargado!AL13="Completar",Encargado!AL13="Hecho",Encargado!AL13="Cubierto con stock",Encargado!AL13="Sin pedido"),OR(Encargado!AL13&lt;&gt;"Previsión",ISNUMBER(Encargado!G13))),0,1))</f>
        <v>0</v>
      </c>
      <c r="Q13">
        <f>IF(AND(N13=1,Encargado!P13&lt;&gt;""),1,0)</f>
        <v>0</v>
      </c>
    </row>
    <row r="14" spans="1:17" ht="24" customHeight="1">
      <c r="A14" s="10" t="s">
        <v>40</v>
      </c>
      <c r="B14" s="10" t="s">
        <v>131</v>
      </c>
      <c r="C14" s="14" t="str">
        <f t="shared" si="1"/>
        <v/>
      </c>
      <c r="D14" s="14">
        <f t="shared" si="1"/>
        <v>20</v>
      </c>
      <c r="E14" s="14">
        <f t="shared" si="1"/>
        <v>28</v>
      </c>
      <c r="F14" s="14">
        <f t="shared" si="1"/>
        <v>28</v>
      </c>
      <c r="G14" s="14">
        <f t="shared" si="1"/>
        <v>75</v>
      </c>
      <c r="H14" s="14">
        <f t="shared" si="1"/>
        <v>65</v>
      </c>
      <c r="I14" s="14" t="str">
        <f t="shared" si="1"/>
        <v/>
      </c>
      <c r="J14" s="14" t="str">
        <f t="shared" si="1"/>
        <v/>
      </c>
      <c r="L14" t="str">
        <f>IF(Encargado!A14="","",Encargado!A14)</f>
        <v>Furilot</v>
      </c>
      <c r="M14">
        <f>IF(ISNUMBER(Encargado!B14),Encargado!B14-WEEKDAY(Encargado!B14,2)+1,0)</f>
        <v>46342</v>
      </c>
      <c r="N14">
        <f>IF(AND(L14&lt;&gt;"",ISNUMBER(Encargado!B14)),1,0)</f>
        <v>1</v>
      </c>
      <c r="O14">
        <f>IF(OR(N14=0,P14=1),0,IF(ISBLANK(Encargado!H14),MAX(0,ROUND(N(Encargado!G14)-N(Encargado!N14),3),N(Encargado!J14)),N(Encargado!J14)))</f>
        <v>3</v>
      </c>
      <c r="P14">
        <f>IF(N14=0,0,IF(AND(OR(Encargado!AL14="Previsión",Encargado!AL14="Por confirmar",AND(Encargado!AL14="Adelanto en pausa",ISNUMBER(Encargado!G14),Encargado!AA14=""),Encargado!AL14="Preparar",Encargado!AL14="Completar",Encargado!AL14="Hecho",Encargado!AL14="Cubierto con stock",Encargado!AL14="Sin pedido"),OR(Encargado!AL14&lt;&gt;"Previsión",ISNUMBER(Encargado!G14))),0,1))</f>
        <v>0</v>
      </c>
      <c r="Q14">
        <f>IF(AND(N14=1,Encargado!P14&lt;&gt;""),1,0)</f>
        <v>0</v>
      </c>
    </row>
    <row r="15" spans="1:17" ht="24" customHeight="1">
      <c r="A15" s="15" t="s">
        <v>51</v>
      </c>
      <c r="B15" s="15" t="s">
        <v>131</v>
      </c>
      <c r="C15" s="16" t="str">
        <f t="shared" si="1"/>
        <v/>
      </c>
      <c r="D15" s="16">
        <f t="shared" si="1"/>
        <v>5</v>
      </c>
      <c r="E15" s="16" t="str">
        <f t="shared" si="1"/>
        <v/>
      </c>
      <c r="F15" s="16">
        <f t="shared" si="1"/>
        <v>5</v>
      </c>
      <c r="G15" s="16" t="str">
        <f t="shared" si="1"/>
        <v/>
      </c>
      <c r="H15" s="16" t="str">
        <f t="shared" si="1"/>
        <v/>
      </c>
      <c r="I15" s="16">
        <f t="shared" si="1"/>
        <v>5</v>
      </c>
      <c r="J15" s="16" t="str">
        <f t="shared" si="1"/>
        <v/>
      </c>
      <c r="L15" t="str">
        <f>IF(Encargado!A15="","",Encargado!A15)</f>
        <v>Furilot</v>
      </c>
      <c r="M15">
        <f>IF(ISNUMBER(Encargado!B15),Encargado!B15-WEEKDAY(Encargado!B15,2)+1,0)</f>
        <v>46342</v>
      </c>
      <c r="N15">
        <f>IF(AND(L15&lt;&gt;"",ISNUMBER(Encargado!B15)),1,0)</f>
        <v>1</v>
      </c>
      <c r="O15">
        <f>IF(OR(N15=0,P15=1),0,IF(ISBLANK(Encargado!H15),MAX(0,ROUND(N(Encargado!G15)-N(Encargado!N15),3),N(Encargado!J15)),N(Encargado!J15)))</f>
        <v>4</v>
      </c>
      <c r="P15">
        <f>IF(N15=0,0,IF(AND(OR(Encargado!AL15="Previsión",Encargado!AL15="Por confirmar",AND(Encargado!AL15="Adelanto en pausa",ISNUMBER(Encargado!G15),Encargado!AA15=""),Encargado!AL15="Preparar",Encargado!AL15="Completar",Encargado!AL15="Hecho",Encargado!AL15="Cubierto con stock",Encargado!AL15="Sin pedido"),OR(Encargado!AL15&lt;&gt;"Previsión",ISNUMBER(Encargado!G15))),0,1))</f>
        <v>0</v>
      </c>
      <c r="Q15">
        <f>IF(AND(N15=1,Encargado!P15&lt;&gt;""),1,0)</f>
        <v>0</v>
      </c>
    </row>
    <row r="16" spans="1:17" ht="24" customHeight="1">
      <c r="A16" s="10" t="s">
        <v>49</v>
      </c>
      <c r="B16" s="10" t="s">
        <v>131</v>
      </c>
      <c r="C16" s="14" t="str">
        <f t="shared" si="1"/>
        <v/>
      </c>
      <c r="D16" s="14">
        <f t="shared" si="1"/>
        <v>10</v>
      </c>
      <c r="E16" s="14" t="str">
        <f t="shared" si="1"/>
        <v/>
      </c>
      <c r="F16" s="14" t="str">
        <f t="shared" si="1"/>
        <v/>
      </c>
      <c r="G16" s="14">
        <f t="shared" si="1"/>
        <v>15</v>
      </c>
      <c r="H16" s="14" t="str">
        <f t="shared" si="1"/>
        <v/>
      </c>
      <c r="I16" s="14">
        <f t="shared" si="1"/>
        <v>7</v>
      </c>
      <c r="J16" s="14" t="str">
        <f t="shared" si="1"/>
        <v/>
      </c>
      <c r="L16" t="str">
        <f>IF(Encargado!A16="","",Encargado!A16)</f>
        <v>Furilot</v>
      </c>
      <c r="M16">
        <f>IF(ISNUMBER(Encargado!B16),Encargado!B16-WEEKDAY(Encargado!B16,2)+1,0)</f>
        <v>46342</v>
      </c>
      <c r="N16">
        <f>IF(AND(L16&lt;&gt;"",ISNUMBER(Encargado!B16)),1,0)</f>
        <v>1</v>
      </c>
      <c r="O16">
        <f>IF(OR(N16=0,P16=1),0,IF(ISBLANK(Encargado!H16),MAX(0,ROUND(N(Encargado!G16)-N(Encargado!N16),3),N(Encargado!J16)),N(Encargado!J16)))</f>
        <v>7</v>
      </c>
      <c r="P16">
        <f>IF(N16=0,0,IF(AND(OR(Encargado!AL16="Previsión",Encargado!AL16="Por confirmar",AND(Encargado!AL16="Adelanto en pausa",ISNUMBER(Encargado!G16),Encargado!AA16=""),Encargado!AL16="Preparar",Encargado!AL16="Completar",Encargado!AL16="Hecho",Encargado!AL16="Cubierto con stock",Encargado!AL16="Sin pedido"),OR(Encargado!AL16&lt;&gt;"Previsión",ISNUMBER(Encargado!G16))),0,1))</f>
        <v>0</v>
      </c>
      <c r="Q16">
        <f>IF(AND(N16=1,Encargado!P16&lt;&gt;""),1,0)</f>
        <v>0</v>
      </c>
    </row>
    <row r="17" spans="1:17" ht="24" customHeight="1">
      <c r="A17" s="15" t="s">
        <v>53</v>
      </c>
      <c r="B17" s="15" t="s">
        <v>130</v>
      </c>
      <c r="C17" s="16" t="str">
        <f t="shared" si="1"/>
        <v/>
      </c>
      <c r="D17" s="16">
        <f t="shared" si="1"/>
        <v>5</v>
      </c>
      <c r="E17" s="16" t="str">
        <f t="shared" si="1"/>
        <v/>
      </c>
      <c r="F17" s="16" t="str">
        <f t="shared" si="1"/>
        <v/>
      </c>
      <c r="G17" s="16">
        <f t="shared" si="1"/>
        <v>12</v>
      </c>
      <c r="H17" s="16">
        <f t="shared" si="1"/>
        <v>14</v>
      </c>
      <c r="I17" s="16">
        <f t="shared" si="1"/>
        <v>13</v>
      </c>
      <c r="J17" s="16" t="str">
        <f t="shared" si="1"/>
        <v/>
      </c>
      <c r="L17" t="str">
        <f>IF(Encargado!A17="","",Encargado!A17)</f>
        <v>Pachikay</v>
      </c>
      <c r="M17">
        <f>IF(ISNUMBER(Encargado!B17),Encargado!B17-WEEKDAY(Encargado!B17,2)+1,0)</f>
        <v>46342</v>
      </c>
      <c r="N17">
        <f>IF(AND(L17&lt;&gt;"",ISNUMBER(Encargado!B17)),1,0)</f>
        <v>1</v>
      </c>
      <c r="O17">
        <f>IF(OR(N17=0,P17=1),0,IF(ISBLANK(Encargado!H17),MAX(0,ROUND(N(Encargado!G17)-N(Encargado!N17),3),N(Encargado!J17)),N(Encargado!J17)))</f>
        <v>3</v>
      </c>
      <c r="P17">
        <f>IF(N17=0,0,IF(AND(OR(Encargado!AL17="Previsión",Encargado!AL17="Por confirmar",AND(Encargado!AL17="Adelanto en pausa",ISNUMBER(Encargado!G17),Encargado!AA17=""),Encargado!AL17="Preparar",Encargado!AL17="Completar",Encargado!AL17="Hecho",Encargado!AL17="Cubierto con stock",Encargado!AL17="Sin pedido"),OR(Encargado!AL17&lt;&gt;"Previsión",ISNUMBER(Encargado!G17))),0,1))</f>
        <v>0</v>
      </c>
      <c r="Q17">
        <f>IF(AND(N17=1,Encargado!P17&lt;&gt;""),1,0)</f>
        <v>0</v>
      </c>
    </row>
    <row r="18" spans="1:17" ht="24" customHeight="1">
      <c r="A18" s="10" t="s">
        <v>59</v>
      </c>
      <c r="B18" s="10" t="s">
        <v>130</v>
      </c>
      <c r="C18" s="14" t="str">
        <f t="shared" si="1"/>
        <v/>
      </c>
      <c r="D18" s="14" t="str">
        <f t="shared" si="1"/>
        <v/>
      </c>
      <c r="E18" s="14" t="str">
        <f t="shared" si="1"/>
        <v/>
      </c>
      <c r="F18" s="14">
        <f t="shared" si="1"/>
        <v>2.334</v>
      </c>
      <c r="G18" s="14">
        <f t="shared" si="1"/>
        <v>2.333</v>
      </c>
      <c r="H18" s="14">
        <f t="shared" si="1"/>
        <v>3.708</v>
      </c>
      <c r="I18" s="14">
        <f t="shared" si="1"/>
        <v>3.938</v>
      </c>
      <c r="J18" s="14">
        <f t="shared" si="1"/>
        <v>3.021</v>
      </c>
      <c r="L18" t="str">
        <f>IF(Encargado!A18="","",Encargado!A18)</f>
        <v>Pachikay</v>
      </c>
      <c r="M18">
        <f>IF(ISNUMBER(Encargado!B18),Encargado!B18-WEEKDAY(Encargado!B18,2)+1,0)</f>
        <v>46342</v>
      </c>
      <c r="N18">
        <f>IF(AND(L18&lt;&gt;"",ISNUMBER(Encargado!B18)),1,0)</f>
        <v>1</v>
      </c>
      <c r="O18">
        <f>IF(OR(N18=0,P18=1),0,IF(ISBLANK(Encargado!H18),MAX(0,ROUND(N(Encargado!G18)-N(Encargado!N18),3),N(Encargado!J18)),N(Encargado!J18)))</f>
        <v>4</v>
      </c>
      <c r="P18">
        <f>IF(N18=0,0,IF(AND(OR(Encargado!AL18="Previsión",Encargado!AL18="Por confirmar",AND(Encargado!AL18="Adelanto en pausa",ISNUMBER(Encargado!G18),Encargado!AA18=""),Encargado!AL18="Preparar",Encargado!AL18="Completar",Encargado!AL18="Hecho",Encargado!AL18="Cubierto con stock",Encargado!AL18="Sin pedido"),OR(Encargado!AL18&lt;&gt;"Previsión",ISNUMBER(Encargado!G18))),0,1))</f>
        <v>0</v>
      </c>
      <c r="Q18">
        <f>IF(AND(N18=1,Encargado!P18&lt;&gt;""),1,0)</f>
        <v>0</v>
      </c>
    </row>
    <row r="19" spans="1:17" ht="24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L19" t="str">
        <f>IF(Encargado!A19="","",Encargado!A19)</f>
        <v>Salsa Teriyaki</v>
      </c>
      <c r="M19">
        <f>IF(ISNUMBER(Encargado!B19),Encargado!B19-WEEKDAY(Encargado!B19,2)+1,0)</f>
        <v>46342</v>
      </c>
      <c r="N19">
        <f>IF(AND(L19&lt;&gt;"",ISNUMBER(Encargado!B19)),1,0)</f>
        <v>1</v>
      </c>
      <c r="O19">
        <f>IF(OR(N19=0,P19=1),0,IF(ISBLANK(Encargado!H19),MAX(0,ROUND(N(Encargado!G19)-N(Encargado!N19),3),N(Encargado!J19)),N(Encargado!J19)))</f>
        <v>10</v>
      </c>
      <c r="P19">
        <f>IF(N19=0,0,IF(AND(OR(Encargado!AL19="Previsión",Encargado!AL19="Por confirmar",AND(Encargado!AL19="Adelanto en pausa",ISNUMBER(Encargado!G19),Encargado!AA19=""),Encargado!AL19="Preparar",Encargado!AL19="Completar",Encargado!AL19="Hecho",Encargado!AL19="Cubierto con stock",Encargado!AL19="Sin pedido"),OR(Encargado!AL19&lt;&gt;"Previsión",ISNUMBER(Encargado!G19))),0,1))</f>
        <v>0</v>
      </c>
      <c r="Q19">
        <f>IF(AND(N19=1,Encargado!P19&lt;&gt;""),1,0)</f>
        <v>0</v>
      </c>
    </row>
    <row r="20" spans="1:17" ht="20" customHeight="1">
      <c r="A20" s="65" t="s">
        <v>132</v>
      </c>
      <c r="B20" s="65"/>
      <c r="C20" s="10" t="str">
        <f t="shared" ref="C20:J20" si="2">IF(SUMIF($M$9:$M$128,C$45,$Q$9:$Q$128)=0,"",SUMIF($M$9:$M$128,C$45,$Q$9:$Q$128))</f>
        <v/>
      </c>
      <c r="D20" s="10" t="str">
        <f t="shared" si="2"/>
        <v/>
      </c>
      <c r="E20" s="10" t="str">
        <f t="shared" si="2"/>
        <v/>
      </c>
      <c r="F20" s="10" t="str">
        <f t="shared" si="2"/>
        <v/>
      </c>
      <c r="G20" s="10" t="str">
        <f t="shared" si="2"/>
        <v/>
      </c>
      <c r="H20" s="10" t="str">
        <f t="shared" si="2"/>
        <v/>
      </c>
      <c r="I20" s="10" t="str">
        <f t="shared" si="2"/>
        <v/>
      </c>
      <c r="J20" s="10" t="str">
        <f t="shared" si="2"/>
        <v/>
      </c>
      <c r="L20" t="str">
        <f>IF(Encargado!A20="","",Encargado!A20)</f>
        <v>Salsa Nori</v>
      </c>
      <c r="M20">
        <f>IF(ISNUMBER(Encargado!B20),Encargado!B20-WEEKDAY(Encargado!B20,2)+1,0)</f>
        <v>46342</v>
      </c>
      <c r="N20">
        <f>IF(AND(L20&lt;&gt;"",ISNUMBER(Encargado!B20)),1,0)</f>
        <v>1</v>
      </c>
      <c r="O20">
        <f>IF(OR(N20=0,P20=1),0,IF(ISBLANK(Encargado!H20),MAX(0,ROUND(N(Encargado!G20)-N(Encargado!N20),3),N(Encargado!J20)),N(Encargado!J20)))</f>
        <v>5</v>
      </c>
      <c r="P20">
        <f>IF(N20=0,0,IF(AND(OR(Encargado!AL20="Previsión",Encargado!AL20="Por confirmar",AND(Encargado!AL20="Adelanto en pausa",ISNUMBER(Encargado!G20),Encargado!AA20=""),Encargado!AL20="Preparar",Encargado!AL20="Completar",Encargado!AL20="Hecho",Encargado!AL20="Cubierto con stock",Encargado!AL20="Sin pedido"),OR(Encargado!AL20&lt;&gt;"Previsión",ISNUMBER(Encargado!G20))),0,1))</f>
        <v>0</v>
      </c>
      <c r="Q20">
        <f>IF(AND(N20=1,Encargado!P20&lt;&gt;""),1,0)</f>
        <v>0</v>
      </c>
    </row>
    <row r="21" spans="1:17" ht="24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L21" t="str">
        <f>IF(Encargado!A21="","",Encargado!A21)</f>
        <v>Umami</v>
      </c>
      <c r="M21">
        <f>IF(ISNUMBER(Encargado!B21),Encargado!B21-WEEKDAY(Encargado!B21,2)+1,0)</f>
        <v>46342</v>
      </c>
      <c r="N21">
        <f>IF(AND(L21&lt;&gt;"",ISNUMBER(Encargado!B21)),1,0)</f>
        <v>1</v>
      </c>
      <c r="O21">
        <f>IF(OR(N21=0,P21=1),0,IF(ISBLANK(Encargado!H21),MAX(0,ROUND(N(Encargado!G21)-N(Encargado!N21),3),N(Encargado!J21)),N(Encargado!J21)))</f>
        <v>5</v>
      </c>
      <c r="P21">
        <f>IF(N21=0,0,IF(AND(OR(Encargado!AL21="Previsión",Encargado!AL21="Por confirmar",AND(Encargado!AL21="Adelanto en pausa",ISNUMBER(Encargado!G21),Encargado!AA21=""),Encargado!AL21="Preparar",Encargado!AL21="Completar",Encargado!AL21="Hecho",Encargado!AL21="Cubierto con stock",Encargado!AL21="Sin pedido"),OR(Encargado!AL21&lt;&gt;"Previsión",ISNUMBER(Encargado!G21))),0,1))</f>
        <v>0</v>
      </c>
      <c r="Q21">
        <f>IF(AND(N21=1,Encargado!P21&lt;&gt;""),1,0)</f>
        <v>0</v>
      </c>
    </row>
    <row r="22" spans="1:17" ht="24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L22" t="str">
        <f>IF(Encargado!A22="","",Encargado!A22)</f>
        <v>Furikake</v>
      </c>
      <c r="M22">
        <f>IF(ISNUMBER(Encargado!B22),Encargado!B22-WEEKDAY(Encargado!B22,2)+1,0)</f>
        <v>46349</v>
      </c>
      <c r="N22">
        <f>IF(AND(L22&lt;&gt;"",ISNUMBER(Encargado!B22)),1,0)</f>
        <v>1</v>
      </c>
      <c r="O22">
        <f>IF(OR(N22=0,P22=1),0,IF(ISBLANK(Encargado!H22),MAX(0,ROUND(N(Encargado!G22)-N(Encargado!N22),3),N(Encargado!J22)),N(Encargado!J22)))</f>
        <v>8</v>
      </c>
      <c r="P22">
        <f>IF(N22=0,0,IF(AND(OR(Encargado!AL22="Previsión",Encargado!AL22="Por confirmar",AND(Encargado!AL22="Adelanto en pausa",ISNUMBER(Encargado!G22),Encargado!AA22=""),Encargado!AL22="Preparar",Encargado!AL22="Completar",Encargado!AL22="Hecho",Encargado!AL22="Cubierto con stock",Encargado!AL22="Sin pedido"),OR(Encargado!AL22&lt;&gt;"Previsión",ISNUMBER(Encargado!G22))),0,1))</f>
        <v>0</v>
      </c>
      <c r="Q22">
        <f>IF(AND(N22=1,Encargado!P22&lt;&gt;""),1,0)</f>
        <v>0</v>
      </c>
    </row>
    <row r="23" spans="1:17" ht="28" customHeight="1">
      <c r="A23" s="10"/>
      <c r="B23" s="10"/>
      <c r="C23" s="63" t="s">
        <v>129</v>
      </c>
      <c r="D23" s="63"/>
      <c r="E23" s="64" t="s">
        <v>133</v>
      </c>
      <c r="F23" s="64"/>
      <c r="G23" s="64"/>
      <c r="H23" s="64"/>
      <c r="I23" s="64"/>
      <c r="J23" s="64"/>
      <c r="L23" t="str">
        <f>IF(Encargado!A23="","",Encargado!A23)</f>
        <v>Tsue</v>
      </c>
      <c r="M23">
        <f>IF(ISNUMBER(Encargado!B23),Encargado!B23-WEEKDAY(Encargado!B23,2)+1,0)</f>
        <v>46349</v>
      </c>
      <c r="N23">
        <f>IF(AND(L23&lt;&gt;"",ISNUMBER(Encargado!B23)),1,0)</f>
        <v>1</v>
      </c>
      <c r="O23">
        <f>IF(OR(N23=0,P23=1),0,IF(ISBLANK(Encargado!H23),MAX(0,ROUND(N(Encargado!G23)-N(Encargado!N23),3),N(Encargado!J23)),N(Encargado!J23)))</f>
        <v>28</v>
      </c>
      <c r="P23">
        <f>IF(N23=0,0,IF(AND(OR(Encargado!AL23="Previsión",Encargado!AL23="Por confirmar",AND(Encargado!AL23="Adelanto en pausa",ISNUMBER(Encargado!G23),Encargado!AA23=""),Encargado!AL23="Preparar",Encargado!AL23="Completar",Encargado!AL23="Hecho",Encargado!AL23="Cubierto con stock",Encargado!AL23="Sin pedido"),OR(Encargado!AL23&lt;&gt;"Previsión",ISNUMBER(Encargado!G23))),0,1))</f>
        <v>0</v>
      </c>
      <c r="Q23">
        <f>IF(AND(N23=1,Encargado!P23&lt;&gt;""),1,0)</f>
        <v>0</v>
      </c>
    </row>
    <row r="24" spans="1:17" ht="34" customHeight="1">
      <c r="A24" s="12" t="s">
        <v>18</v>
      </c>
      <c r="B24" s="12" t="s">
        <v>22</v>
      </c>
      <c r="C24" s="13" t="str">
        <f t="shared" ref="C24:J24" si="3">TEXT(C46,"dd/mm")&amp;" al"&amp;CHAR(10)&amp;TEXT(C46+6,"dd/mm")</f>
        <v>04/01 al
10/01</v>
      </c>
      <c r="D24" s="13" t="str">
        <f t="shared" si="3"/>
        <v>11/01 al
17/01</v>
      </c>
      <c r="E24" s="12" t="str">
        <f t="shared" si="3"/>
        <v>18/01 al
24/01</v>
      </c>
      <c r="F24" s="12" t="str">
        <f t="shared" si="3"/>
        <v>25/01 al
31/01</v>
      </c>
      <c r="G24" s="12" t="str">
        <f t="shared" si="3"/>
        <v>01/02 al
07/02</v>
      </c>
      <c r="H24" s="12" t="str">
        <f t="shared" si="3"/>
        <v>08/02 al
14/02</v>
      </c>
      <c r="I24" s="12" t="str">
        <f t="shared" si="3"/>
        <v>15/02 al
21/02</v>
      </c>
      <c r="J24" s="12" t="str">
        <f t="shared" si="3"/>
        <v>22/02 al
28/02</v>
      </c>
      <c r="L24" t="str">
        <f>IF(Encargado!A24="","",Encargado!A24)</f>
        <v>Furikake</v>
      </c>
      <c r="M24">
        <f>IF(ISNUMBER(Encargado!B24),Encargado!B24-WEEKDAY(Encargado!B24,2)+1,0)</f>
        <v>46356</v>
      </c>
      <c r="N24">
        <f>IF(AND(L24&lt;&gt;"",ISNUMBER(Encargado!B24)),1,0)</f>
        <v>1</v>
      </c>
      <c r="O24">
        <f>IF(OR(N24=0,P24=1),0,IF(ISBLANK(Encargado!H24),MAX(0,ROUND(N(Encargado!G24)-N(Encargado!N24),3),N(Encargado!J24)),N(Encargado!J24)))</f>
        <v>8</v>
      </c>
      <c r="P24">
        <f>IF(N24=0,0,IF(AND(OR(Encargado!AL24="Previsión",Encargado!AL24="Por confirmar",AND(Encargado!AL24="Adelanto en pausa",ISNUMBER(Encargado!G24),Encargado!AA24=""),Encargado!AL24="Preparar",Encargado!AL24="Completar",Encargado!AL24="Hecho",Encargado!AL24="Cubierto con stock",Encargado!AL24="Sin pedido"),OR(Encargado!AL24&lt;&gt;"Previsión",ISNUMBER(Encargado!G24))),0,1))</f>
        <v>0</v>
      </c>
      <c r="Q24">
        <f>IF(AND(N24=1,Encargado!P24&lt;&gt;""),1,0)</f>
        <v>0</v>
      </c>
    </row>
    <row r="25" spans="1:17" ht="24" customHeight="1">
      <c r="A25" s="15" t="s">
        <v>34</v>
      </c>
      <c r="B25" s="15" t="s">
        <v>130</v>
      </c>
      <c r="C25" s="16" t="str">
        <f t="shared" ref="C25:J36" si="4">IF(SUMIFS($P$9:$P$128,$L$9:$L$128,$A25,$M$9:$M$128,C$46)&gt;0,"Revisar",IF(SUMIFS($O$9:$O$128,$L$9:$L$128,$A25,$M$9:$M$128,C$46)=0,"",ROUND(SUMIFS($O$9:$O$128,$L$9:$L$128,$A25,$M$9:$M$128,C$46),3)))</f>
        <v/>
      </c>
      <c r="D25" s="16" t="str">
        <f t="shared" si="4"/>
        <v/>
      </c>
      <c r="E25" s="16">
        <f t="shared" si="4"/>
        <v>10</v>
      </c>
      <c r="F25" s="16" t="str">
        <f t="shared" si="4"/>
        <v/>
      </c>
      <c r="G25" s="16">
        <f t="shared" si="4"/>
        <v>5</v>
      </c>
      <c r="H25" s="16" t="str">
        <f t="shared" si="4"/>
        <v/>
      </c>
      <c r="I25" s="16" t="str">
        <f t="shared" si="4"/>
        <v/>
      </c>
      <c r="J25" s="16" t="str">
        <f t="shared" si="4"/>
        <v/>
      </c>
      <c r="L25" t="str">
        <f>IF(Encargado!A25="","",Encargado!A25)</f>
        <v>Mayo Spicy</v>
      </c>
      <c r="M25">
        <f>IF(ISNUMBER(Encargado!B25),Encargado!B25-WEEKDAY(Encargado!B25,2)+1,0)</f>
        <v>46356</v>
      </c>
      <c r="N25">
        <f>IF(AND(L25&lt;&gt;"",ISNUMBER(Encargado!B25)),1,0)</f>
        <v>1</v>
      </c>
      <c r="O25">
        <f>IF(OR(N25=0,P25=1),0,IF(ISBLANK(Encargado!H25),MAX(0,ROUND(N(Encargado!G25)-N(Encargado!N25),3),N(Encargado!J25)),N(Encargado!J25)))</f>
        <v>2.334</v>
      </c>
      <c r="P25">
        <f>IF(N25=0,0,IF(AND(OR(Encargado!AL25="Previsión",Encargado!AL25="Por confirmar",AND(Encargado!AL25="Adelanto en pausa",ISNUMBER(Encargado!G25),Encargado!AA25=""),Encargado!AL25="Preparar",Encargado!AL25="Completar",Encargado!AL25="Hecho",Encargado!AL25="Cubierto con stock",Encargado!AL25="Sin pedido"),OR(Encargado!AL25&lt;&gt;"Previsión",ISNUMBER(Encargado!G25))),0,1))</f>
        <v>0</v>
      </c>
      <c r="Q25">
        <f>IF(AND(N25=1,Encargado!P25&lt;&gt;""),1,0)</f>
        <v>0</v>
      </c>
    </row>
    <row r="26" spans="1:17" ht="24" customHeight="1">
      <c r="A26" s="10" t="s">
        <v>37</v>
      </c>
      <c r="B26" s="10" t="s">
        <v>130</v>
      </c>
      <c r="C26" s="14" t="str">
        <f t="shared" si="4"/>
        <v/>
      </c>
      <c r="D26" s="14" t="str">
        <f t="shared" si="4"/>
        <v/>
      </c>
      <c r="E26" s="14">
        <f t="shared" si="4"/>
        <v>14</v>
      </c>
      <c r="F26" s="14" t="str">
        <f t="shared" si="4"/>
        <v/>
      </c>
      <c r="G26" s="14">
        <f t="shared" si="4"/>
        <v>5</v>
      </c>
      <c r="H26" s="14" t="str">
        <f t="shared" si="4"/>
        <v/>
      </c>
      <c r="I26" s="14" t="str">
        <f t="shared" si="4"/>
        <v/>
      </c>
      <c r="J26" s="14" t="str">
        <f t="shared" si="4"/>
        <v/>
      </c>
      <c r="L26" t="str">
        <f>IF(Encargado!A26="","",Encargado!A26)</f>
        <v>Manteca Batayaki</v>
      </c>
      <c r="M26">
        <f>IF(ISNUMBER(Encargado!B26),Encargado!B26-WEEKDAY(Encargado!B26,2)+1,0)</f>
        <v>46356</v>
      </c>
      <c r="N26">
        <f>IF(AND(L26&lt;&gt;"",ISNUMBER(Encargado!B26)),1,0)</f>
        <v>1</v>
      </c>
      <c r="O26">
        <f>IF(OR(N26=0,P26=1),0,IF(ISBLANK(Encargado!H26),MAX(0,ROUND(N(Encargado!G26)-N(Encargado!N26),3),N(Encargado!J26)),N(Encargado!J26)))</f>
        <v>17</v>
      </c>
      <c r="P26">
        <f>IF(N26=0,0,IF(AND(OR(Encargado!AL26="Previsión",Encargado!AL26="Por confirmar",AND(Encargado!AL26="Adelanto en pausa",ISNUMBER(Encargado!G26),Encargado!AA26=""),Encargado!AL26="Preparar",Encargado!AL26="Completar",Encargado!AL26="Hecho",Encargado!AL26="Cubierto con stock",Encargado!AL26="Sin pedido"),OR(Encargado!AL26&lt;&gt;"Previsión",ISNUMBER(Encargado!G26))),0,1))</f>
        <v>0</v>
      </c>
      <c r="Q26">
        <f>IF(AND(N26=1,Encargado!P26&lt;&gt;""),1,0)</f>
        <v>0</v>
      </c>
    </row>
    <row r="27" spans="1:17" ht="24" customHeight="1">
      <c r="A27" s="15" t="s">
        <v>42</v>
      </c>
      <c r="B27" s="15" t="s">
        <v>130</v>
      </c>
      <c r="C27" s="16" t="str">
        <f t="shared" si="4"/>
        <v/>
      </c>
      <c r="D27" s="16" t="str">
        <f t="shared" si="4"/>
        <v/>
      </c>
      <c r="E27" s="16">
        <f t="shared" si="4"/>
        <v>8</v>
      </c>
      <c r="F27" s="16" t="str">
        <f t="shared" si="4"/>
        <v/>
      </c>
      <c r="G27" s="16">
        <f t="shared" si="4"/>
        <v>3</v>
      </c>
      <c r="H27" s="16" t="str">
        <f t="shared" si="4"/>
        <v/>
      </c>
      <c r="I27" s="16" t="str">
        <f t="shared" si="4"/>
        <v/>
      </c>
      <c r="J27" s="16" t="str">
        <f t="shared" si="4"/>
        <v/>
      </c>
      <c r="L27" t="str">
        <f>IF(Encargado!A27="","",Encargado!A27)</f>
        <v>Manteca Hisosu</v>
      </c>
      <c r="M27">
        <f>IF(ISNUMBER(Encargado!B27),Encargado!B27-WEEKDAY(Encargado!B27,2)+1,0)</f>
        <v>46356</v>
      </c>
      <c r="N27">
        <f>IF(AND(L27&lt;&gt;"",ISNUMBER(Encargado!B27)),1,0)</f>
        <v>1</v>
      </c>
      <c r="O27">
        <f>IF(OR(N27=0,P27=1),0,IF(ISBLANK(Encargado!H27),MAX(0,ROUND(N(Encargado!G27)-N(Encargado!N27),3),N(Encargado!J27)),N(Encargado!J27)))</f>
        <v>14</v>
      </c>
      <c r="P27">
        <f>IF(N27=0,0,IF(AND(OR(Encargado!AL27="Previsión",Encargado!AL27="Por confirmar",AND(Encargado!AL27="Adelanto en pausa",ISNUMBER(Encargado!G27),Encargado!AA27=""),Encargado!AL27="Preparar",Encargado!AL27="Completar",Encargado!AL27="Hecho",Encargado!AL27="Cubierto con stock",Encargado!AL27="Sin pedido"),OR(Encargado!AL27&lt;&gt;"Previsión",ISNUMBER(Encargado!G27))),0,1))</f>
        <v>0</v>
      </c>
      <c r="Q27">
        <f>IF(AND(N27=1,Encargado!P27&lt;&gt;""),1,0)</f>
        <v>0</v>
      </c>
    </row>
    <row r="28" spans="1:17" ht="24" customHeight="1">
      <c r="A28" s="10" t="s">
        <v>46</v>
      </c>
      <c r="B28" s="10" t="s">
        <v>130</v>
      </c>
      <c r="C28" s="14" t="str">
        <f t="shared" si="4"/>
        <v/>
      </c>
      <c r="D28" s="14" t="str">
        <f t="shared" si="4"/>
        <v/>
      </c>
      <c r="E28" s="14">
        <f t="shared" si="4"/>
        <v>2</v>
      </c>
      <c r="F28" s="14" t="str">
        <f t="shared" si="4"/>
        <v/>
      </c>
      <c r="G28" s="14" t="str">
        <f t="shared" si="4"/>
        <v/>
      </c>
      <c r="H28" s="14" t="str">
        <f t="shared" si="4"/>
        <v/>
      </c>
      <c r="I28" s="14" t="str">
        <f t="shared" si="4"/>
        <v/>
      </c>
      <c r="J28" s="14" t="str">
        <f t="shared" si="4"/>
        <v/>
      </c>
      <c r="L28" t="str">
        <f>IF(Encargado!A28="","",Encargado!A28)</f>
        <v>Salsa Nori</v>
      </c>
      <c r="M28">
        <f>IF(ISNUMBER(Encargado!B28),Encargado!B28-WEEKDAY(Encargado!B28,2)+1,0)</f>
        <v>46356</v>
      </c>
      <c r="N28">
        <f>IF(AND(L28&lt;&gt;"",ISNUMBER(Encargado!B28)),1,0)</f>
        <v>1</v>
      </c>
      <c r="O28">
        <f>IF(OR(N28=0,P28=1),0,IF(ISBLANK(Encargado!H28),MAX(0,ROUND(N(Encargado!G28)-N(Encargado!N28),3),N(Encargado!J28)),N(Encargado!J28)))</f>
        <v>5</v>
      </c>
      <c r="P28">
        <f>IF(N28=0,0,IF(AND(OR(Encargado!AL28="Previsión",Encargado!AL28="Por confirmar",AND(Encargado!AL28="Adelanto en pausa",ISNUMBER(Encargado!G28),Encargado!AA28=""),Encargado!AL28="Preparar",Encargado!AL28="Completar",Encargado!AL28="Hecho",Encargado!AL28="Cubierto con stock",Encargado!AL28="Sin pedido"),OR(Encargado!AL28&lt;&gt;"Previsión",ISNUMBER(Encargado!G28))),0,1))</f>
        <v>0</v>
      </c>
      <c r="Q28">
        <f>IF(AND(N28=1,Encargado!P28&lt;&gt;""),1,0)</f>
        <v>0</v>
      </c>
    </row>
    <row r="29" spans="1:17" ht="24" customHeight="1">
      <c r="A29" s="15" t="s">
        <v>55</v>
      </c>
      <c r="B29" s="15" t="s">
        <v>130</v>
      </c>
      <c r="C29" s="16" t="str">
        <f t="shared" si="4"/>
        <v/>
      </c>
      <c r="D29" s="16" t="str">
        <f t="shared" si="4"/>
        <v/>
      </c>
      <c r="E29" s="16" t="str">
        <f t="shared" si="4"/>
        <v/>
      </c>
      <c r="F29" s="16" t="str">
        <f t="shared" si="4"/>
        <v/>
      </c>
      <c r="G29" s="16">
        <f t="shared" si="4"/>
        <v>3</v>
      </c>
      <c r="H29" s="16" t="str">
        <f t="shared" si="4"/>
        <v/>
      </c>
      <c r="I29" s="16" t="str">
        <f t="shared" si="4"/>
        <v/>
      </c>
      <c r="J29" s="16" t="str">
        <f t="shared" si="4"/>
        <v/>
      </c>
      <c r="L29" t="str">
        <f>IF(Encargado!A29="","",Encargado!A29)</f>
        <v>Tsue</v>
      </c>
      <c r="M29">
        <f>IF(ISNUMBER(Encargado!B29),Encargado!B29-WEEKDAY(Encargado!B29,2)+1,0)</f>
        <v>46356</v>
      </c>
      <c r="N29">
        <f>IF(AND(L29&lt;&gt;"",ISNUMBER(Encargado!B29)),1,0)</f>
        <v>1</v>
      </c>
      <c r="O29">
        <f>IF(OR(N29=0,P29=1),0,IF(ISBLANK(Encargado!H29),MAX(0,ROUND(N(Encargado!G29)-N(Encargado!N29),3),N(Encargado!J29)),N(Encargado!J29)))</f>
        <v>28</v>
      </c>
      <c r="P29">
        <f>IF(N29=0,0,IF(AND(OR(Encargado!AL29="Previsión",Encargado!AL29="Por confirmar",AND(Encargado!AL29="Adelanto en pausa",ISNUMBER(Encargado!G29),Encargado!AA29=""),Encargado!AL29="Preparar",Encargado!AL29="Completar",Encargado!AL29="Hecho",Encargado!AL29="Cubierto con stock",Encargado!AL29="Sin pedido"),OR(Encargado!AL29&lt;&gt;"Previsión",ISNUMBER(Encargado!G29))),0,1))</f>
        <v>0</v>
      </c>
      <c r="Q29">
        <f>IF(AND(N29=1,Encargado!P29&lt;&gt;""),1,0)</f>
        <v>0</v>
      </c>
    </row>
    <row r="30" spans="1:17" ht="24" customHeight="1">
      <c r="A30" s="10" t="s">
        <v>65</v>
      </c>
      <c r="B30" s="10" t="s">
        <v>130</v>
      </c>
      <c r="C30" s="14">
        <f t="shared" si="4"/>
        <v>15</v>
      </c>
      <c r="D30" s="14" t="str">
        <f t="shared" si="4"/>
        <v/>
      </c>
      <c r="E30" s="14">
        <f t="shared" si="4"/>
        <v>18</v>
      </c>
      <c r="F30" s="14" t="str">
        <f t="shared" si="4"/>
        <v/>
      </c>
      <c r="G30" s="14">
        <f t="shared" si="4"/>
        <v>18</v>
      </c>
      <c r="H30" s="14">
        <f t="shared" si="4"/>
        <v>10</v>
      </c>
      <c r="I30" s="14" t="str">
        <f t="shared" si="4"/>
        <v/>
      </c>
      <c r="J30" s="14" t="str">
        <f t="shared" si="4"/>
        <v/>
      </c>
      <c r="L30" t="str">
        <f>IF(Encargado!A30="","",Encargado!A30)</f>
        <v>Gari</v>
      </c>
      <c r="M30">
        <f>IF(ISNUMBER(Encargado!B30),Encargado!B30-WEEKDAY(Encargado!B30,2)+1,0)</f>
        <v>46356</v>
      </c>
      <c r="N30">
        <f>IF(AND(L30&lt;&gt;"",ISNUMBER(Encargado!B30)),1,0)</f>
        <v>1</v>
      </c>
      <c r="O30">
        <f>IF(OR(N30=0,P30=1),0,IF(ISBLANK(Encargado!H30),MAX(0,ROUND(N(Encargado!G30)-N(Encargado!N30),3),N(Encargado!J30)),N(Encargado!J30)))</f>
        <v>24</v>
      </c>
      <c r="P30">
        <f>IF(N30=0,0,IF(AND(OR(Encargado!AL30="Previsión",Encargado!AL30="Por confirmar",AND(Encargado!AL30="Adelanto en pausa",ISNUMBER(Encargado!G30),Encargado!AA30=""),Encargado!AL30="Preparar",Encargado!AL30="Completar",Encargado!AL30="Hecho",Encargado!AL30="Cubierto con stock",Encargado!AL30="Sin pedido"),OR(Encargado!AL30&lt;&gt;"Previsión",ISNUMBER(Encargado!G30))),0,1))</f>
        <v>0</v>
      </c>
      <c r="Q30">
        <f>IF(AND(N30=1,Encargado!P30&lt;&gt;""),1,0)</f>
        <v>0</v>
      </c>
    </row>
    <row r="31" spans="1:17" ht="24" customHeight="1">
      <c r="A31" s="15" t="s">
        <v>70</v>
      </c>
      <c r="B31" s="15" t="s">
        <v>131</v>
      </c>
      <c r="C31" s="16">
        <f t="shared" si="4"/>
        <v>3</v>
      </c>
      <c r="D31" s="16" t="str">
        <f t="shared" si="4"/>
        <v/>
      </c>
      <c r="E31" s="16" t="str">
        <f t="shared" si="4"/>
        <v/>
      </c>
      <c r="F31" s="16">
        <f t="shared" si="4"/>
        <v>4</v>
      </c>
      <c r="G31" s="16" t="str">
        <f t="shared" si="4"/>
        <v/>
      </c>
      <c r="H31" s="16">
        <f t="shared" si="4"/>
        <v>2</v>
      </c>
      <c r="I31" s="16" t="str">
        <f t="shared" si="4"/>
        <v/>
      </c>
      <c r="J31" s="16" t="str">
        <f t="shared" si="4"/>
        <v/>
      </c>
      <c r="L31" t="str">
        <f>IF(Encargado!A31="","",Encargado!A31)</f>
        <v>Manteca Batayaki</v>
      </c>
      <c r="M31">
        <f>IF(ISNUMBER(Encargado!B31),Encargado!B31-WEEKDAY(Encargado!B31,2)+1,0)</f>
        <v>46363</v>
      </c>
      <c r="N31">
        <f>IF(AND(L31&lt;&gt;"",ISNUMBER(Encargado!B31)),1,0)</f>
        <v>1</v>
      </c>
      <c r="O31">
        <f>IF(OR(N31=0,P31=1),0,IF(ISBLANK(Encargado!H31),MAX(0,ROUND(N(Encargado!G31)-N(Encargado!N31),3),N(Encargado!J31)),N(Encargado!J31)))</f>
        <v>14</v>
      </c>
      <c r="P31">
        <f>IF(N31=0,0,IF(AND(OR(Encargado!AL31="Previsión",Encargado!AL31="Por confirmar",AND(Encargado!AL31="Adelanto en pausa",ISNUMBER(Encargado!G31),Encargado!AA31=""),Encargado!AL31="Preparar",Encargado!AL31="Completar",Encargado!AL31="Hecho",Encargado!AL31="Cubierto con stock",Encargado!AL31="Sin pedido"),OR(Encargado!AL31&lt;&gt;"Previsión",ISNUMBER(Encargado!G31))),0,1))</f>
        <v>0</v>
      </c>
      <c r="Q31">
        <f>IF(AND(N31=1,Encargado!P31&lt;&gt;""),1,0)</f>
        <v>0</v>
      </c>
    </row>
    <row r="32" spans="1:17" ht="24" customHeight="1">
      <c r="A32" s="10" t="s">
        <v>40</v>
      </c>
      <c r="B32" s="10" t="s">
        <v>131</v>
      </c>
      <c r="C32" s="14">
        <f t="shared" si="4"/>
        <v>50</v>
      </c>
      <c r="D32" s="14" t="str">
        <f t="shared" si="4"/>
        <v/>
      </c>
      <c r="E32" s="14">
        <f t="shared" si="4"/>
        <v>34</v>
      </c>
      <c r="F32" s="14">
        <f t="shared" si="4"/>
        <v>66</v>
      </c>
      <c r="G32" s="14" t="str">
        <f t="shared" si="4"/>
        <v/>
      </c>
      <c r="H32" s="14">
        <f t="shared" si="4"/>
        <v>30</v>
      </c>
      <c r="I32" s="14" t="str">
        <f t="shared" si="4"/>
        <v/>
      </c>
      <c r="J32" s="14" t="str">
        <f t="shared" si="4"/>
        <v/>
      </c>
      <c r="L32" t="str">
        <f>IF(Encargado!A32="","",Encargado!A32)</f>
        <v>Mayo Spicy</v>
      </c>
      <c r="M32">
        <f>IF(ISNUMBER(Encargado!B32),Encargado!B32-WEEKDAY(Encargado!B32,2)+1,0)</f>
        <v>46363</v>
      </c>
      <c r="N32">
        <f>IF(AND(L32&lt;&gt;"",ISNUMBER(Encargado!B32)),1,0)</f>
        <v>1</v>
      </c>
      <c r="O32">
        <f>IF(OR(N32=0,P32=1),0,IF(ISBLANK(Encargado!H32),MAX(0,ROUND(N(Encargado!G32)-N(Encargado!N32),3),N(Encargado!J32)),N(Encargado!J32)))</f>
        <v>2.333</v>
      </c>
      <c r="P32">
        <f>IF(N32=0,0,IF(AND(OR(Encargado!AL32="Previsión",Encargado!AL32="Por confirmar",AND(Encargado!AL32="Adelanto en pausa",ISNUMBER(Encargado!G32),Encargado!AA32=""),Encargado!AL32="Preparar",Encargado!AL32="Completar",Encargado!AL32="Hecho",Encargado!AL32="Cubierto con stock",Encargado!AL32="Sin pedido"),OR(Encargado!AL32&lt;&gt;"Previsión",ISNUMBER(Encargado!G32))),0,1))</f>
        <v>0</v>
      </c>
      <c r="Q32">
        <f>IF(AND(N32=1,Encargado!P32&lt;&gt;""),1,0)</f>
        <v>0</v>
      </c>
    </row>
    <row r="33" spans="1:17" ht="24" customHeight="1">
      <c r="A33" s="15" t="s">
        <v>51</v>
      </c>
      <c r="B33" s="15" t="s">
        <v>131</v>
      </c>
      <c r="C33" s="16" t="str">
        <f t="shared" si="4"/>
        <v/>
      </c>
      <c r="D33" s="16" t="str">
        <f t="shared" si="4"/>
        <v/>
      </c>
      <c r="E33" s="16" t="str">
        <f t="shared" si="4"/>
        <v/>
      </c>
      <c r="F33" s="16" t="str">
        <f t="shared" si="4"/>
        <v/>
      </c>
      <c r="G33" s="16" t="str">
        <f t="shared" si="4"/>
        <v/>
      </c>
      <c r="H33" s="16" t="str">
        <f t="shared" si="4"/>
        <v/>
      </c>
      <c r="I33" s="16" t="str">
        <f t="shared" si="4"/>
        <v/>
      </c>
      <c r="J33" s="16" t="str">
        <f t="shared" si="4"/>
        <v/>
      </c>
      <c r="L33" t="str">
        <f>IF(Encargado!A33="","",Encargado!A33)</f>
        <v>Tsue</v>
      </c>
      <c r="M33">
        <f>IF(ISNUMBER(Encargado!B33),Encargado!B33-WEEKDAY(Encargado!B33,2)+1,0)</f>
        <v>46363</v>
      </c>
      <c r="N33">
        <f>IF(AND(L33&lt;&gt;"",ISNUMBER(Encargado!B33)),1,0)</f>
        <v>1</v>
      </c>
      <c r="O33">
        <f>IF(OR(N33=0,P33=1),0,IF(ISBLANK(Encargado!H33),MAX(0,ROUND(N(Encargado!G33)-N(Encargado!N33),3),N(Encargado!J33)),N(Encargado!J33)))</f>
        <v>37</v>
      </c>
      <c r="P33">
        <f>IF(N33=0,0,IF(AND(OR(Encargado!AL33="Previsión",Encargado!AL33="Por confirmar",AND(Encargado!AL33="Adelanto en pausa",ISNUMBER(Encargado!G33),Encargado!AA33=""),Encargado!AL33="Preparar",Encargado!AL33="Completar",Encargado!AL33="Hecho",Encargado!AL33="Cubierto con stock",Encargado!AL33="Sin pedido"),OR(Encargado!AL33&lt;&gt;"Previsión",ISNUMBER(Encargado!G33))),0,1))</f>
        <v>0</v>
      </c>
      <c r="Q33">
        <f>IF(AND(N33=1,Encargado!P33&lt;&gt;""),1,0)</f>
        <v>0</v>
      </c>
    </row>
    <row r="34" spans="1:17" ht="24" customHeight="1">
      <c r="A34" s="10" t="s">
        <v>49</v>
      </c>
      <c r="B34" s="10" t="s">
        <v>131</v>
      </c>
      <c r="C34" s="14">
        <f t="shared" si="4"/>
        <v>13</v>
      </c>
      <c r="D34" s="14" t="str">
        <f t="shared" si="4"/>
        <v/>
      </c>
      <c r="E34" s="14" t="str">
        <f t="shared" si="4"/>
        <v/>
      </c>
      <c r="F34" s="14">
        <f t="shared" si="4"/>
        <v>15</v>
      </c>
      <c r="G34" s="14" t="str">
        <f t="shared" si="4"/>
        <v/>
      </c>
      <c r="H34" s="14">
        <f t="shared" si="4"/>
        <v>5</v>
      </c>
      <c r="I34" s="14" t="str">
        <f t="shared" si="4"/>
        <v/>
      </c>
      <c r="J34" s="14" t="str">
        <f t="shared" si="4"/>
        <v/>
      </c>
      <c r="L34" t="str">
        <f>IF(Encargado!A34="","",Encargado!A34)</f>
        <v>Base Ponzu</v>
      </c>
      <c r="M34">
        <f>IF(ISNUMBER(Encargado!B34),Encargado!B34-WEEKDAY(Encargado!B34,2)+1,0)</f>
        <v>46363</v>
      </c>
      <c r="N34">
        <f>IF(AND(L34&lt;&gt;"",ISNUMBER(Encargado!B34)),1,0)</f>
        <v>1</v>
      </c>
      <c r="O34">
        <f>IF(OR(N34=0,P34=1),0,IF(ISBLANK(Encargado!H34),MAX(0,ROUND(N(Encargado!G34)-N(Encargado!N34),3),N(Encargado!J34)),N(Encargado!J34)))</f>
        <v>5</v>
      </c>
      <c r="P34">
        <f>IF(N34=0,0,IF(AND(OR(Encargado!AL34="Previsión",Encargado!AL34="Por confirmar",AND(Encargado!AL34="Adelanto en pausa",ISNUMBER(Encargado!G34),Encargado!AA34=""),Encargado!AL34="Preparar",Encargado!AL34="Completar",Encargado!AL34="Hecho",Encargado!AL34="Cubierto con stock",Encargado!AL34="Sin pedido"),OR(Encargado!AL34&lt;&gt;"Previsión",ISNUMBER(Encargado!G34))),0,1))</f>
        <v>0</v>
      </c>
      <c r="Q34">
        <f>IF(AND(N34=1,Encargado!P34&lt;&gt;""),1,0)</f>
        <v>0</v>
      </c>
    </row>
    <row r="35" spans="1:17" ht="24" customHeight="1">
      <c r="A35" s="15" t="s">
        <v>53</v>
      </c>
      <c r="B35" s="15" t="s">
        <v>130</v>
      </c>
      <c r="C35" s="16">
        <f t="shared" si="4"/>
        <v>17</v>
      </c>
      <c r="D35" s="16" t="str">
        <f t="shared" si="4"/>
        <v/>
      </c>
      <c r="E35" s="16">
        <f t="shared" si="4"/>
        <v>13</v>
      </c>
      <c r="F35" s="16" t="str">
        <f t="shared" si="4"/>
        <v/>
      </c>
      <c r="G35" s="16">
        <f t="shared" si="4"/>
        <v>13</v>
      </c>
      <c r="H35" s="16">
        <f t="shared" si="4"/>
        <v>8</v>
      </c>
      <c r="I35" s="16" t="str">
        <f t="shared" si="4"/>
        <v/>
      </c>
      <c r="J35" s="16" t="str">
        <f t="shared" si="4"/>
        <v/>
      </c>
      <c r="L35" t="str">
        <f>IF(Encargado!A35="","",Encargado!A35)</f>
        <v>Manteca Hisosu</v>
      </c>
      <c r="M35">
        <f>IF(ISNUMBER(Encargado!B35),Encargado!B35-WEEKDAY(Encargado!B35,2)+1,0)</f>
        <v>46363</v>
      </c>
      <c r="N35">
        <f>IF(AND(L35&lt;&gt;"",ISNUMBER(Encargado!B35)),1,0)</f>
        <v>1</v>
      </c>
      <c r="O35">
        <f>IF(OR(N35=0,P35=1),0,IF(ISBLANK(Encargado!H35),MAX(0,ROUND(N(Encargado!G35)-N(Encargado!N35),3),N(Encargado!J35)),N(Encargado!J35)))</f>
        <v>14</v>
      </c>
      <c r="P35">
        <f>IF(N35=0,0,IF(AND(OR(Encargado!AL35="Previsión",Encargado!AL35="Por confirmar",AND(Encargado!AL35="Adelanto en pausa",ISNUMBER(Encargado!G35),Encargado!AA35=""),Encargado!AL35="Preparar",Encargado!AL35="Completar",Encargado!AL35="Hecho",Encargado!AL35="Cubierto con stock",Encargado!AL35="Sin pedido"),OR(Encargado!AL35&lt;&gt;"Previsión",ISNUMBER(Encargado!G35))),0,1))</f>
        <v>0</v>
      </c>
      <c r="Q35">
        <f>IF(AND(N35=1,Encargado!P35&lt;&gt;""),1,0)</f>
        <v>0</v>
      </c>
    </row>
    <row r="36" spans="1:17" ht="24" customHeight="1">
      <c r="A36" s="10" t="s">
        <v>59</v>
      </c>
      <c r="B36" s="10" t="s">
        <v>130</v>
      </c>
      <c r="C36" s="14">
        <f t="shared" si="4"/>
        <v>2.333</v>
      </c>
      <c r="D36" s="14">
        <f t="shared" si="4"/>
        <v>2.833</v>
      </c>
      <c r="E36" s="14">
        <f t="shared" si="4"/>
        <v>3.5</v>
      </c>
      <c r="F36" s="14">
        <f t="shared" si="4"/>
        <v>3</v>
      </c>
      <c r="G36" s="14" t="str">
        <f t="shared" si="4"/>
        <v/>
      </c>
      <c r="H36" s="14" t="str">
        <f t="shared" si="4"/>
        <v/>
      </c>
      <c r="I36" s="14">
        <f t="shared" si="4"/>
        <v>1.615</v>
      </c>
      <c r="J36" s="14">
        <f t="shared" si="4"/>
        <v>1.385</v>
      </c>
      <c r="L36" t="str">
        <f>IF(Encargado!A36="","",Encargado!A36)</f>
        <v>Tsue</v>
      </c>
      <c r="M36">
        <f>IF(ISNUMBER(Encargado!B36),Encargado!B36-WEEKDAY(Encargado!B36,2)+1,0)</f>
        <v>46363</v>
      </c>
      <c r="N36">
        <f>IF(AND(L36&lt;&gt;"",ISNUMBER(Encargado!B36)),1,0)</f>
        <v>1</v>
      </c>
      <c r="O36">
        <f>IF(OR(N36=0,P36=1),0,IF(ISBLANK(Encargado!H36),MAX(0,ROUND(N(Encargado!G36)-N(Encargado!N36),3),N(Encargado!J36)),N(Encargado!J36)))</f>
        <v>38</v>
      </c>
      <c r="P36">
        <f>IF(N36=0,0,IF(AND(OR(Encargado!AL36="Previsión",Encargado!AL36="Por confirmar",AND(Encargado!AL36="Adelanto en pausa",ISNUMBER(Encargado!G36),Encargado!AA36=""),Encargado!AL36="Preparar",Encargado!AL36="Completar",Encargado!AL36="Hecho",Encargado!AL36="Cubierto con stock",Encargado!AL36="Sin pedido"),OR(Encargado!AL36&lt;&gt;"Previsión",ISNUMBER(Encargado!G36))),0,1))</f>
        <v>0</v>
      </c>
      <c r="Q36">
        <f>IF(AND(N36=1,Encargado!P36&lt;&gt;""),1,0)</f>
        <v>0</v>
      </c>
    </row>
    <row r="37" spans="1:17" ht="24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L37" t="str">
        <f>IF(Encargado!A37="","",Encargado!A37)</f>
        <v>Salsa Teriyaki</v>
      </c>
      <c r="M37">
        <f>IF(ISNUMBER(Encargado!B37),Encargado!B37-WEEKDAY(Encargado!B37,2)+1,0)</f>
        <v>46363</v>
      </c>
      <c r="N37">
        <f>IF(AND(L37&lt;&gt;"",ISNUMBER(Encargado!B37)),1,0)</f>
        <v>1</v>
      </c>
      <c r="O37">
        <f>IF(OR(N37=0,P37=1),0,IF(ISBLANK(Encargado!H37),MAX(0,ROUND(N(Encargado!G37)-N(Encargado!N37),3),N(Encargado!J37)),N(Encargado!J37)))</f>
        <v>7</v>
      </c>
      <c r="P37">
        <f>IF(N37=0,0,IF(AND(OR(Encargado!AL37="Previsión",Encargado!AL37="Por confirmar",AND(Encargado!AL37="Adelanto en pausa",ISNUMBER(Encargado!G37),Encargado!AA37=""),Encargado!AL37="Preparar",Encargado!AL37="Completar",Encargado!AL37="Hecho",Encargado!AL37="Cubierto con stock",Encargado!AL37="Sin pedido"),OR(Encargado!AL37&lt;&gt;"Previsión",ISNUMBER(Encargado!G37))),0,1))</f>
        <v>0</v>
      </c>
      <c r="Q37">
        <f>IF(AND(N37=1,Encargado!P37&lt;&gt;""),1,0)</f>
        <v>0</v>
      </c>
    </row>
    <row r="38" spans="1:17" ht="20" customHeight="1">
      <c r="A38" s="65" t="s">
        <v>132</v>
      </c>
      <c r="B38" s="65"/>
      <c r="C38" s="10" t="str">
        <f t="shared" ref="C38:J38" si="5">IF(SUMIF($M$9:$M$128,C$46,$Q$9:$Q$128)=0,"",SUMIF($M$9:$M$128,C$46,$Q$9:$Q$128))</f>
        <v/>
      </c>
      <c r="D38" s="10" t="str">
        <f t="shared" si="5"/>
        <v/>
      </c>
      <c r="E38" s="10" t="str">
        <f t="shared" si="5"/>
        <v/>
      </c>
      <c r="F38" s="10" t="str">
        <f t="shared" si="5"/>
        <v/>
      </c>
      <c r="G38" s="10" t="str">
        <f t="shared" si="5"/>
        <v/>
      </c>
      <c r="H38" s="10" t="str">
        <f t="shared" si="5"/>
        <v/>
      </c>
      <c r="I38" s="10" t="str">
        <f t="shared" si="5"/>
        <v/>
      </c>
      <c r="J38" s="10" t="str">
        <f t="shared" si="5"/>
        <v/>
      </c>
      <c r="L38" t="str">
        <f>IF(Encargado!A38="","",Encargado!A38)</f>
        <v>Salsa Teriyaki</v>
      </c>
      <c r="M38">
        <f>IF(ISNUMBER(Encargado!B38),Encargado!B38-WEEKDAY(Encargado!B38,2)+1,0)</f>
        <v>46363</v>
      </c>
      <c r="N38">
        <f>IF(AND(L38&lt;&gt;"",ISNUMBER(Encargado!B38)),1,0)</f>
        <v>1</v>
      </c>
      <c r="O38">
        <f>IF(OR(N38=0,P38=1),0,IF(ISBLANK(Encargado!H38),MAX(0,ROUND(N(Encargado!G38)-N(Encargado!N38),3),N(Encargado!J38)),N(Encargado!J38)))</f>
        <v>8</v>
      </c>
      <c r="P38">
        <f>IF(N38=0,0,IF(AND(OR(Encargado!AL38="Previsión",Encargado!AL38="Por confirmar",AND(Encargado!AL38="Adelanto en pausa",ISNUMBER(Encargado!G38),Encargado!AA38=""),Encargado!AL38="Preparar",Encargado!AL38="Completar",Encargado!AL38="Hecho",Encargado!AL38="Cubierto con stock",Encargado!AL38="Sin pedido"),OR(Encargado!AL38&lt;&gt;"Previsión",ISNUMBER(Encargado!G38))),0,1))</f>
        <v>0</v>
      </c>
      <c r="Q38">
        <f>IF(AND(N38=1,Encargado!P38&lt;&gt;""),1,0)</f>
        <v>0</v>
      </c>
    </row>
    <row r="39" spans="1:17" ht="24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L39" t="str">
        <f>IF(Encargado!A39="","",Encargado!A39)</f>
        <v>Umami</v>
      </c>
      <c r="M39">
        <f>IF(ISNUMBER(Encargado!B39),Encargado!B39-WEEKDAY(Encargado!B39,2)+1,0)</f>
        <v>46363</v>
      </c>
      <c r="N39">
        <f>IF(AND(L39&lt;&gt;"",ISNUMBER(Encargado!B39)),1,0)</f>
        <v>1</v>
      </c>
      <c r="O39">
        <f>IF(OR(N39=0,P39=1),0,IF(ISBLANK(Encargado!H39),MAX(0,ROUND(N(Encargado!G39)-N(Encargado!N39),3),N(Encargado!J39)),N(Encargado!J39)))</f>
        <v>12</v>
      </c>
      <c r="P39">
        <f>IF(N39=0,0,IF(AND(OR(Encargado!AL39="Previsión",Encargado!AL39="Por confirmar",AND(Encargado!AL39="Adelanto en pausa",ISNUMBER(Encargado!G39),Encargado!AA39=""),Encargado!AL39="Preparar",Encargado!AL39="Completar",Encargado!AL39="Hecho",Encargado!AL39="Cubierto con stock",Encargado!AL39="Sin pedido"),OR(Encargado!AL39&lt;&gt;"Previsión",ISNUMBER(Encargado!G39))),0,1))</f>
        <v>0</v>
      </c>
      <c r="Q39">
        <f>IF(AND(N39=1,Encargado!P39&lt;&gt;""),1,0)</f>
        <v>0</v>
      </c>
    </row>
    <row r="40" spans="1:17" ht="42" customHeight="1">
      <c r="A40" s="61" t="s">
        <v>134</v>
      </c>
      <c r="B40" s="61"/>
      <c r="C40" s="61"/>
      <c r="D40" s="61"/>
      <c r="E40" s="61"/>
      <c r="F40" s="61"/>
      <c r="G40" s="61"/>
      <c r="H40" s="61"/>
      <c r="I40" s="61"/>
      <c r="J40" s="61"/>
      <c r="L40" t="str">
        <f>IF(Encargado!A40="","",Encargado!A40)</f>
        <v>Gari</v>
      </c>
      <c r="M40">
        <f>IF(ISNUMBER(Encargado!B40),Encargado!B40-WEEKDAY(Encargado!B40,2)+1,0)</f>
        <v>46370</v>
      </c>
      <c r="N40">
        <f>IF(AND(L40&lt;&gt;"",ISNUMBER(Encargado!B40)),1,0)</f>
        <v>1</v>
      </c>
      <c r="O40">
        <f>IF(OR(N40=0,P40=1),0,IF(ISBLANK(Encargado!H40),MAX(0,ROUND(N(Encargado!G40)-N(Encargado!N40),3),N(Encargado!J40)),N(Encargado!J40)))</f>
        <v>20</v>
      </c>
      <c r="P40">
        <f>IF(N40=0,0,IF(AND(OR(Encargado!AL40="Previsión",Encargado!AL40="Por confirmar",AND(Encargado!AL40="Adelanto en pausa",ISNUMBER(Encargado!G40),Encargado!AA40=""),Encargado!AL40="Preparar",Encargado!AL40="Completar",Encargado!AL40="Hecho",Encargado!AL40="Cubierto con stock",Encargado!AL40="Sin pedido"),OR(Encargado!AL40&lt;&gt;"Previsión",ISNUMBER(Encargado!G40))),0,1))</f>
        <v>0</v>
      </c>
      <c r="Q40">
        <f>IF(AND(N40=1,Encargado!P40&lt;&gt;""),1,0)</f>
        <v>0</v>
      </c>
    </row>
    <row r="41" spans="1:17" ht="24" customHeight="1">
      <c r="A41" s="61" t="s">
        <v>135</v>
      </c>
      <c r="B41" s="61"/>
      <c r="C41" s="61"/>
      <c r="D41" s="61"/>
      <c r="E41" s="61"/>
      <c r="F41" s="61"/>
      <c r="G41" s="61"/>
      <c r="H41" s="61"/>
      <c r="I41" s="61"/>
      <c r="J41" s="61"/>
      <c r="L41" t="str">
        <f>IF(Encargado!A41="","",Encargado!A41)</f>
        <v>Mayo Spicy</v>
      </c>
      <c r="M41">
        <f>IF(ISNUMBER(Encargado!B41),Encargado!B41-WEEKDAY(Encargado!B41,2)+1,0)</f>
        <v>46370</v>
      </c>
      <c r="N41">
        <f>IF(AND(L41&lt;&gt;"",ISNUMBER(Encargado!B41)),1,0)</f>
        <v>1</v>
      </c>
      <c r="O41">
        <f>IF(OR(N41=0,P41=1),0,IF(ISBLANK(Encargado!H41),MAX(0,ROUND(N(Encargado!G41)-N(Encargado!N41),3),N(Encargado!J41)),N(Encargado!J41)))</f>
        <v>3.708</v>
      </c>
      <c r="P41">
        <f>IF(N41=0,0,IF(AND(OR(Encargado!AL41="Previsión",Encargado!AL41="Por confirmar",AND(Encargado!AL41="Adelanto en pausa",ISNUMBER(Encargado!G41),Encargado!AA41=""),Encargado!AL41="Preparar",Encargado!AL41="Completar",Encargado!AL41="Hecho",Encargado!AL41="Cubierto con stock",Encargado!AL41="Sin pedido"),OR(Encargado!AL41&lt;&gt;"Previsión",ISNUMBER(Encargado!G41))),0,1))</f>
        <v>0</v>
      </c>
      <c r="Q41">
        <f>IF(AND(N41=1,Encargado!P41&lt;&gt;""),1,0)</f>
        <v>0</v>
      </c>
    </row>
    <row r="42" spans="1:17" ht="24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L42" t="str">
        <f>IF(Encargado!A42="","",Encargado!A42)</f>
        <v>Furikake</v>
      </c>
      <c r="M42">
        <f>IF(ISNUMBER(Encargado!B42),Encargado!B42-WEEKDAY(Encargado!B42,2)+1,0)</f>
        <v>46370</v>
      </c>
      <c r="N42">
        <f>IF(AND(L42&lt;&gt;"",ISNUMBER(Encargado!B42)),1,0)</f>
        <v>1</v>
      </c>
      <c r="O42">
        <f>IF(OR(N42=0,P42=1),0,IF(ISBLANK(Encargado!H42),MAX(0,ROUND(N(Encargado!G42)-N(Encargado!N42),3),N(Encargado!J42)),N(Encargado!J42)))</f>
        <v>4</v>
      </c>
      <c r="P42">
        <f>IF(N42=0,0,IF(AND(OR(Encargado!AL42="Previsión",Encargado!AL42="Por confirmar",AND(Encargado!AL42="Adelanto en pausa",ISNUMBER(Encargado!G42),Encargado!AA42=""),Encargado!AL42="Preparar",Encargado!AL42="Completar",Encargado!AL42="Hecho",Encargado!AL42="Cubierto con stock",Encargado!AL42="Sin pedido"),OR(Encargado!AL42&lt;&gt;"Previsión",ISNUMBER(Encargado!G42))),0,1))</f>
        <v>0</v>
      </c>
      <c r="Q42">
        <f>IF(AND(N42=1,Encargado!P42&lt;&gt;""),1,0)</f>
        <v>0</v>
      </c>
    </row>
    <row r="43" spans="1:17">
      <c r="L43" t="str">
        <f>IF(Encargado!A43="","",Encargado!A43)</f>
        <v>Tsue</v>
      </c>
      <c r="M43">
        <f>IF(ISNUMBER(Encargado!B43),Encargado!B43-WEEKDAY(Encargado!B43,2)+1,0)</f>
        <v>46370</v>
      </c>
      <c r="N43">
        <f>IF(AND(L43&lt;&gt;"",ISNUMBER(Encargado!B43)),1,0)</f>
        <v>1</v>
      </c>
      <c r="O43">
        <f>IF(OR(N43=0,P43=1),0,IF(ISBLANK(Encargado!H43),MAX(0,ROUND(N(Encargado!G43)-N(Encargado!N43),3),N(Encargado!J43)),N(Encargado!J43)))</f>
        <v>28</v>
      </c>
      <c r="P43">
        <f>IF(N43=0,0,IF(AND(OR(Encargado!AL43="Previsión",Encargado!AL43="Por confirmar",AND(Encargado!AL43="Adelanto en pausa",ISNUMBER(Encargado!G43),Encargado!AA43=""),Encargado!AL43="Preparar",Encargado!AL43="Completar",Encargado!AL43="Hecho",Encargado!AL43="Cubierto con stock",Encargado!AL43="Sin pedido"),OR(Encargado!AL43&lt;&gt;"Previsión",ISNUMBER(Encargado!G43))),0,1))</f>
        <v>0</v>
      </c>
      <c r="Q43">
        <f>IF(AND(N43=1,Encargado!P43&lt;&gt;""),1,0)</f>
        <v>0</v>
      </c>
    </row>
    <row r="44" spans="1:17">
      <c r="L44" t="str">
        <f>IF(Encargado!A44="","",Encargado!A44)</f>
        <v>Furilot</v>
      </c>
      <c r="M44">
        <f>IF(ISNUMBER(Encargado!B44),Encargado!B44-WEEKDAY(Encargado!B44,2)+1,0)</f>
        <v>46370</v>
      </c>
      <c r="N44">
        <f>IF(AND(L44&lt;&gt;"",ISNUMBER(Encargado!B44)),1,0)</f>
        <v>1</v>
      </c>
      <c r="O44">
        <f>IF(OR(N44=0,P44=1),0,IF(ISBLANK(Encargado!H44),MAX(0,ROUND(N(Encargado!G44)-N(Encargado!N44),3),N(Encargado!J44)),N(Encargado!J44)))</f>
        <v>3</v>
      </c>
      <c r="P44">
        <f>IF(N44=0,0,IF(AND(OR(Encargado!AL44="Previsión",Encargado!AL44="Por confirmar",AND(Encargado!AL44="Adelanto en pausa",ISNUMBER(Encargado!G44),Encargado!AA44=""),Encargado!AL44="Preparar",Encargado!AL44="Completar",Encargado!AL44="Hecho",Encargado!AL44="Cubierto con stock",Encargado!AL44="Sin pedido"),OR(Encargado!AL44&lt;&gt;"Previsión",ISNUMBER(Encargado!G44))),0,1))</f>
        <v>0</v>
      </c>
      <c r="Q44">
        <f>IF(AND(N44=1,Encargado!P44&lt;&gt;""),1,0)</f>
        <v>0</v>
      </c>
    </row>
    <row r="45" spans="1:17" hidden="1">
      <c r="C45">
        <f>DATE(2026,11,9)+0</f>
        <v>46335</v>
      </c>
      <c r="D45">
        <f>DATE(2026,11,9)+7</f>
        <v>46342</v>
      </c>
      <c r="E45">
        <f>DATE(2026,11,9)+14</f>
        <v>46349</v>
      </c>
      <c r="F45">
        <f>DATE(2026,11,9)+21</f>
        <v>46356</v>
      </c>
      <c r="G45">
        <f>DATE(2026,11,9)+28</f>
        <v>46363</v>
      </c>
      <c r="H45">
        <f>DATE(2026,11,9)+35</f>
        <v>46370</v>
      </c>
      <c r="I45">
        <f>DATE(2026,11,9)+42</f>
        <v>46377</v>
      </c>
      <c r="J45">
        <f>DATE(2026,11,9)+49</f>
        <v>46384</v>
      </c>
      <c r="L45" t="str">
        <f>IF(Encargado!A45="","",Encargado!A45)</f>
        <v>Umami</v>
      </c>
      <c r="M45">
        <f>IF(ISNUMBER(Encargado!B45),Encargado!B45-WEEKDAY(Encargado!B45,2)+1,0)</f>
        <v>46370</v>
      </c>
      <c r="N45">
        <f>IF(AND(L45&lt;&gt;"",ISNUMBER(Encargado!B45)),1,0)</f>
        <v>1</v>
      </c>
      <c r="O45">
        <f>IF(OR(N45=0,P45=1),0,IF(ISBLANK(Encargado!H45),MAX(0,ROUND(N(Encargado!G45)-N(Encargado!N45),3),N(Encargado!J45)),N(Encargado!J45)))</f>
        <v>14</v>
      </c>
      <c r="P45">
        <f>IF(N45=0,0,IF(AND(OR(Encargado!AL45="Previsión",Encargado!AL45="Por confirmar",AND(Encargado!AL45="Adelanto en pausa",ISNUMBER(Encargado!G45),Encargado!AA45=""),Encargado!AL45="Preparar",Encargado!AL45="Completar",Encargado!AL45="Hecho",Encargado!AL45="Cubierto con stock",Encargado!AL45="Sin pedido"),OR(Encargado!AL45&lt;&gt;"Previsión",ISNUMBER(Encargado!G45))),0,1))</f>
        <v>0</v>
      </c>
      <c r="Q45">
        <f>IF(AND(N45=1,Encargado!P45&lt;&gt;""),1,0)</f>
        <v>0</v>
      </c>
    </row>
    <row r="46" spans="1:17" hidden="1">
      <c r="C46">
        <f>DATE(2026,11,9)+56</f>
        <v>46391</v>
      </c>
      <c r="D46">
        <f>DATE(2026,11,9)+63</f>
        <v>46398</v>
      </c>
      <c r="E46">
        <f>DATE(2026,11,9)+70</f>
        <v>46405</v>
      </c>
      <c r="F46">
        <f>DATE(2026,11,9)+77</f>
        <v>46412</v>
      </c>
      <c r="G46">
        <f>DATE(2026,11,9)+84</f>
        <v>46419</v>
      </c>
      <c r="H46">
        <f>DATE(2026,11,9)+91</f>
        <v>46426</v>
      </c>
      <c r="I46">
        <f>DATE(2026,11,9)+98</f>
        <v>46433</v>
      </c>
      <c r="J46">
        <f>DATE(2026,11,9)+105</f>
        <v>46440</v>
      </c>
      <c r="L46" t="str">
        <f>IF(Encargado!A46="","",Encargado!A46)</f>
        <v>Tsue</v>
      </c>
      <c r="M46">
        <f>IF(ISNUMBER(Encargado!B46),Encargado!B46-WEEKDAY(Encargado!B46,2)+1,0)</f>
        <v>46370</v>
      </c>
      <c r="N46">
        <f>IF(AND(L46&lt;&gt;"",ISNUMBER(Encargado!B46)),1,0)</f>
        <v>1</v>
      </c>
      <c r="O46">
        <f>IF(OR(N46=0,P46=1),0,IF(ISBLANK(Encargado!H46),MAX(0,ROUND(N(Encargado!G46)-N(Encargado!N46),3),N(Encargado!J46)),N(Encargado!J46)))</f>
        <v>37</v>
      </c>
      <c r="P46">
        <f>IF(N46=0,0,IF(AND(OR(Encargado!AL46="Previsión",Encargado!AL46="Por confirmar",AND(Encargado!AL46="Adelanto en pausa",ISNUMBER(Encargado!G46),Encargado!AA46=""),Encargado!AL46="Preparar",Encargado!AL46="Completar",Encargado!AL46="Hecho",Encargado!AL46="Cubierto con stock",Encargado!AL46="Sin pedido"),OR(Encargado!AL46&lt;&gt;"Previsión",ISNUMBER(Encargado!G46))),0,1))</f>
        <v>0</v>
      </c>
      <c r="Q46">
        <f>IF(AND(N46=1,Encargado!P46&lt;&gt;""),1,0)</f>
        <v>0</v>
      </c>
    </row>
    <row r="47" spans="1:17">
      <c r="L47" t="str">
        <f>IF(Encargado!A47="","",Encargado!A47)</f>
        <v>Base Ponzu</v>
      </c>
      <c r="M47">
        <f>IF(ISNUMBER(Encargado!B47),Encargado!B47-WEEKDAY(Encargado!B47,2)+1,0)</f>
        <v>46370</v>
      </c>
      <c r="N47">
        <f>IF(AND(L47&lt;&gt;"",ISNUMBER(Encargado!B47)),1,0)</f>
        <v>1</v>
      </c>
      <c r="O47">
        <f>IF(OR(N47=0,P47=1),0,IF(ISBLANK(Encargado!H47),MAX(0,ROUND(N(Encargado!G47)-N(Encargado!N47),3),N(Encargado!J47)),N(Encargado!J47)))</f>
        <v>3</v>
      </c>
      <c r="P47">
        <f>IF(N47=0,0,IF(AND(OR(Encargado!AL47="Previsión",Encargado!AL47="Por confirmar",AND(Encargado!AL47="Adelanto en pausa",ISNUMBER(Encargado!G47),Encargado!AA47=""),Encargado!AL47="Preparar",Encargado!AL47="Completar",Encargado!AL47="Hecho",Encargado!AL47="Cubierto con stock",Encargado!AL47="Sin pedido"),OR(Encargado!AL47&lt;&gt;"Previsión",ISNUMBER(Encargado!G47))),0,1))</f>
        <v>0</v>
      </c>
      <c r="Q47">
        <f>IF(AND(N47=1,Encargado!P47&lt;&gt;""),1,0)</f>
        <v>0</v>
      </c>
    </row>
    <row r="48" spans="1:17">
      <c r="L48" t="str">
        <f>IF(Encargado!A48="","",Encargado!A48)</f>
        <v>Gari</v>
      </c>
      <c r="M48">
        <f>IF(ISNUMBER(Encargado!B48),Encargado!B48-WEEKDAY(Encargado!B48,2)+1,0)</f>
        <v>46370</v>
      </c>
      <c r="N48">
        <f>IF(AND(L48&lt;&gt;"",ISNUMBER(Encargado!B48)),1,0)</f>
        <v>1</v>
      </c>
      <c r="O48">
        <f>IF(OR(N48=0,P48=1),0,IF(ISBLANK(Encargado!H48),MAX(0,ROUND(N(Encargado!G48)-N(Encargado!N48),3),N(Encargado!J48)),N(Encargado!J48)))</f>
        <v>18</v>
      </c>
      <c r="P48">
        <f>IF(N48=0,0,IF(AND(OR(Encargado!AL48="Previsión",Encargado!AL48="Por confirmar",AND(Encargado!AL48="Adelanto en pausa",ISNUMBER(Encargado!G48),Encargado!AA48=""),Encargado!AL48="Preparar",Encargado!AL48="Completar",Encargado!AL48="Hecho",Encargado!AL48="Cubierto con stock",Encargado!AL48="Sin pedido"),OR(Encargado!AL48&lt;&gt;"Previsión",ISNUMBER(Encargado!G48))),0,1))</f>
        <v>0</v>
      </c>
      <c r="Q48">
        <f>IF(AND(N48=1,Encargado!P48&lt;&gt;""),1,0)</f>
        <v>0</v>
      </c>
    </row>
    <row r="49" spans="12:17">
      <c r="L49" t="str">
        <f>IF(Encargado!A49="","",Encargado!A49)</f>
        <v>Mayo Spicy</v>
      </c>
      <c r="M49">
        <f>IF(ISNUMBER(Encargado!B49),Encargado!B49-WEEKDAY(Encargado!B49,2)+1,0)</f>
        <v>46377</v>
      </c>
      <c r="N49">
        <f>IF(AND(L49&lt;&gt;"",ISNUMBER(Encargado!B49)),1,0)</f>
        <v>1</v>
      </c>
      <c r="O49">
        <f>IF(OR(N49=0,P49=1),0,IF(ISBLANK(Encargado!H49),MAX(0,ROUND(N(Encargado!G49)-N(Encargado!N49),3),N(Encargado!J49)),N(Encargado!J49)))</f>
        <v>3.938</v>
      </c>
      <c r="P49">
        <f>IF(N49=0,0,IF(AND(OR(Encargado!AL49="Previsión",Encargado!AL49="Por confirmar",AND(Encargado!AL49="Adelanto en pausa",ISNUMBER(Encargado!G49),Encargado!AA49=""),Encargado!AL49="Preparar",Encargado!AL49="Completar",Encargado!AL49="Hecho",Encargado!AL49="Cubierto con stock",Encargado!AL49="Sin pedido"),OR(Encargado!AL49&lt;&gt;"Previsión",ISNUMBER(Encargado!G49))),0,1))</f>
        <v>0</v>
      </c>
      <c r="Q49">
        <f>IF(AND(N49=1,Encargado!P49&lt;&gt;""),1,0)</f>
        <v>0</v>
      </c>
    </row>
    <row r="50" spans="12:17">
      <c r="L50" t="str">
        <f>IF(Encargado!A50="","",Encargado!A50)</f>
        <v>Umami</v>
      </c>
      <c r="M50">
        <f>IF(ISNUMBER(Encargado!B50),Encargado!B50-WEEKDAY(Encargado!B50,2)+1,0)</f>
        <v>46377</v>
      </c>
      <c r="N50">
        <f>IF(AND(L50&lt;&gt;"",ISNUMBER(Encargado!B50)),1,0)</f>
        <v>1</v>
      </c>
      <c r="O50">
        <f>IF(OR(N50=0,P50=1),0,IF(ISBLANK(Encargado!H50),MAX(0,ROUND(N(Encargado!G50)-N(Encargado!N50),3),N(Encargado!J50)),N(Encargado!J50)))</f>
        <v>13</v>
      </c>
      <c r="P50">
        <f>IF(N50=0,0,IF(AND(OR(Encargado!AL50="Previsión",Encargado!AL50="Por confirmar",AND(Encargado!AL50="Adelanto en pausa",ISNUMBER(Encargado!G50),Encargado!AA50=""),Encargado!AL50="Preparar",Encargado!AL50="Completar",Encargado!AL50="Hecho",Encargado!AL50="Cubierto con stock",Encargado!AL50="Sin pedido"),OR(Encargado!AL50&lt;&gt;"Previsión",ISNUMBER(Encargado!G50))),0,1))</f>
        <v>0</v>
      </c>
      <c r="Q50">
        <f>IF(AND(N50=1,Encargado!P50&lt;&gt;""),1,0)</f>
        <v>0</v>
      </c>
    </row>
    <row r="51" spans="12:17">
      <c r="L51" t="str">
        <f>IF(Encargado!A51="","",Encargado!A51)</f>
        <v>Salsa Nori</v>
      </c>
      <c r="M51">
        <f>IF(ISNUMBER(Encargado!B51),Encargado!B51-WEEKDAY(Encargado!B51,2)+1,0)</f>
        <v>46377</v>
      </c>
      <c r="N51">
        <f>IF(AND(L51&lt;&gt;"",ISNUMBER(Encargado!B51)),1,0)</f>
        <v>1</v>
      </c>
      <c r="O51">
        <f>IF(OR(N51=0,P51=1),0,IF(ISBLANK(Encargado!H51),MAX(0,ROUND(N(Encargado!G51)-N(Encargado!N51),3),N(Encargado!J51)),N(Encargado!J51)))</f>
        <v>5</v>
      </c>
      <c r="P51">
        <f>IF(N51=0,0,IF(AND(OR(Encargado!AL51="Previsión",Encargado!AL51="Por confirmar",AND(Encargado!AL51="Adelanto en pausa",ISNUMBER(Encargado!G51),Encargado!AA51=""),Encargado!AL51="Preparar",Encargado!AL51="Completar",Encargado!AL51="Hecho",Encargado!AL51="Cubierto con stock",Encargado!AL51="Sin pedido"),OR(Encargado!AL51&lt;&gt;"Previsión",ISNUMBER(Encargado!G51))),0,1))</f>
        <v>0</v>
      </c>
      <c r="Q51">
        <f>IF(AND(N51=1,Encargado!P51&lt;&gt;""),1,0)</f>
        <v>0</v>
      </c>
    </row>
    <row r="52" spans="12:17">
      <c r="L52" t="str">
        <f>IF(Encargado!A52="","",Encargado!A52)</f>
        <v>Salsa Teriyaki</v>
      </c>
      <c r="M52">
        <f>IF(ISNUMBER(Encargado!B52),Encargado!B52-WEEKDAY(Encargado!B52,2)+1,0)</f>
        <v>46377</v>
      </c>
      <c r="N52">
        <f>IF(AND(L52&lt;&gt;"",ISNUMBER(Encargado!B52)),1,0)</f>
        <v>1</v>
      </c>
      <c r="O52">
        <f>IF(OR(N52=0,P52=1),0,IF(ISBLANK(Encargado!H52),MAX(0,ROUND(N(Encargado!G52)-N(Encargado!N52),3),N(Encargado!J52)),N(Encargado!J52)))</f>
        <v>7</v>
      </c>
      <c r="P52">
        <f>IF(N52=0,0,IF(AND(OR(Encargado!AL52="Previsión",Encargado!AL52="Por confirmar",AND(Encargado!AL52="Adelanto en pausa",ISNUMBER(Encargado!G52),Encargado!AA52=""),Encargado!AL52="Preparar",Encargado!AL52="Completar",Encargado!AL52="Hecho",Encargado!AL52="Cubierto con stock",Encargado!AL52="Sin pedido"),OR(Encargado!AL52&lt;&gt;"Previsión",ISNUMBER(Encargado!G52))),0,1))</f>
        <v>0</v>
      </c>
      <c r="Q52">
        <f>IF(AND(N52=1,Encargado!P52&lt;&gt;""),1,0)</f>
        <v>0</v>
      </c>
    </row>
    <row r="53" spans="12:17">
      <c r="L53" t="str">
        <f>IF(Encargado!A53="","",Encargado!A53)</f>
        <v>Pachikay</v>
      </c>
      <c r="M53">
        <f>IF(ISNUMBER(Encargado!B53),Encargado!B53-WEEKDAY(Encargado!B53,2)+1,0)</f>
        <v>46377</v>
      </c>
      <c r="N53">
        <f>IF(AND(L53&lt;&gt;"",ISNUMBER(Encargado!B53)),1,0)</f>
        <v>1</v>
      </c>
      <c r="O53">
        <f>IF(OR(N53=0,P53=1),0,IF(ISBLANK(Encargado!H53),MAX(0,ROUND(N(Encargado!G53)-N(Encargado!N53),3),N(Encargado!J53)),N(Encargado!J53)))</f>
        <v>3</v>
      </c>
      <c r="P53">
        <f>IF(N53=0,0,IF(AND(OR(Encargado!AL53="Previsión",Encargado!AL53="Por confirmar",AND(Encargado!AL53="Adelanto en pausa",ISNUMBER(Encargado!G53),Encargado!AA53=""),Encargado!AL53="Preparar",Encargado!AL53="Completar",Encargado!AL53="Hecho",Encargado!AL53="Cubierto con stock",Encargado!AL53="Sin pedido"),OR(Encargado!AL53&lt;&gt;"Previsión",ISNUMBER(Encargado!G53))),0,1))</f>
        <v>0</v>
      </c>
      <c r="Q53">
        <f>IF(AND(N53=1,Encargado!P53&lt;&gt;""),1,0)</f>
        <v>0</v>
      </c>
    </row>
    <row r="54" spans="12:17">
      <c r="L54" t="str">
        <f>IF(Encargado!A54="","",Encargado!A54)</f>
        <v>Mayo Spicy</v>
      </c>
      <c r="M54">
        <f>IF(ISNUMBER(Encargado!B54),Encargado!B54-WEEKDAY(Encargado!B54,2)+1,0)</f>
        <v>46384</v>
      </c>
      <c r="N54">
        <f>IF(AND(L54&lt;&gt;"",ISNUMBER(Encargado!B54)),1,0)</f>
        <v>1</v>
      </c>
      <c r="O54">
        <f>IF(OR(N54=0,P54=1),0,IF(ISBLANK(Encargado!H54),MAX(0,ROUND(N(Encargado!G54)-N(Encargado!N54),3),N(Encargado!J54)),N(Encargado!J54)))</f>
        <v>3.021</v>
      </c>
      <c r="P54">
        <f>IF(N54=0,0,IF(AND(OR(Encargado!AL54="Previsión",Encargado!AL54="Por confirmar",AND(Encargado!AL54="Adelanto en pausa",ISNUMBER(Encargado!G54),Encargado!AA54=""),Encargado!AL54="Preparar",Encargado!AL54="Completar",Encargado!AL54="Hecho",Encargado!AL54="Cubierto con stock",Encargado!AL54="Sin pedido"),OR(Encargado!AL54&lt;&gt;"Previsión",ISNUMBER(Encargado!G54))),0,1))</f>
        <v>0</v>
      </c>
      <c r="Q54">
        <f>IF(AND(N54=1,Encargado!P54&lt;&gt;""),1,0)</f>
        <v>0</v>
      </c>
    </row>
    <row r="55" spans="12:17">
      <c r="L55" t="str">
        <f>IF(Encargado!A55="","",Encargado!A55)</f>
        <v>Mayo Spicy</v>
      </c>
      <c r="M55">
        <f>IF(ISNUMBER(Encargado!B55),Encargado!B55-WEEKDAY(Encargado!B55,2)+1,0)</f>
        <v>46391</v>
      </c>
      <c r="N55">
        <f>IF(AND(L55&lt;&gt;"",ISNUMBER(Encargado!B55)),1,0)</f>
        <v>1</v>
      </c>
      <c r="O55">
        <f>IF(OR(N55=0,P55=1),0,IF(ISBLANK(Encargado!H55),MAX(0,ROUND(N(Encargado!G55)-N(Encargado!N55),3),N(Encargado!J55)),N(Encargado!J55)))</f>
        <v>2.333</v>
      </c>
      <c r="P55">
        <f>IF(N55=0,0,IF(AND(OR(Encargado!AL55="Previsión",Encargado!AL55="Por confirmar",AND(Encargado!AL55="Adelanto en pausa",ISNUMBER(Encargado!G55),Encargado!AA55=""),Encargado!AL55="Preparar",Encargado!AL55="Completar",Encargado!AL55="Hecho",Encargado!AL55="Cubierto con stock",Encargado!AL55="Sin pedido"),OR(Encargado!AL55&lt;&gt;"Previsión",ISNUMBER(Encargado!G55))),0,1))</f>
        <v>0</v>
      </c>
      <c r="Q55">
        <f>IF(AND(N55=1,Encargado!P55&lt;&gt;""),1,0)</f>
        <v>0</v>
      </c>
    </row>
    <row r="56" spans="12:17">
      <c r="L56" t="str">
        <f>IF(Encargado!A56="","",Encargado!A56)</f>
        <v>Gari</v>
      </c>
      <c r="M56">
        <f>IF(ISNUMBER(Encargado!B56),Encargado!B56-WEEKDAY(Encargado!B56,2)+1,0)</f>
        <v>46391</v>
      </c>
      <c r="N56">
        <f>IF(AND(L56&lt;&gt;"",ISNUMBER(Encargado!B56)),1,0)</f>
        <v>1</v>
      </c>
      <c r="O56">
        <f>IF(OR(N56=0,P56=1),0,IF(ISBLANK(Encargado!H56),MAX(0,ROUND(N(Encargado!G56)-N(Encargado!N56),3),N(Encargado!J56)),N(Encargado!J56)))</f>
        <v>15</v>
      </c>
      <c r="P56">
        <f>IF(N56=0,0,IF(AND(OR(Encargado!AL56="Previsión",Encargado!AL56="Por confirmar",AND(Encargado!AL56="Adelanto en pausa",ISNUMBER(Encargado!G56),Encargado!AA56=""),Encargado!AL56="Preparar",Encargado!AL56="Completar",Encargado!AL56="Hecho",Encargado!AL56="Cubierto con stock",Encargado!AL56="Sin pedido"),OR(Encargado!AL56&lt;&gt;"Previsión",ISNUMBER(Encargado!G56))),0,1))</f>
        <v>0</v>
      </c>
      <c r="Q56">
        <f>IF(AND(N56=1,Encargado!P56&lt;&gt;""),1,0)</f>
        <v>0</v>
      </c>
    </row>
    <row r="57" spans="12:17">
      <c r="L57" t="str">
        <f>IF(Encargado!A57="","",Encargado!A57)</f>
        <v>Umami</v>
      </c>
      <c r="M57">
        <f>IF(ISNUMBER(Encargado!B57),Encargado!B57-WEEKDAY(Encargado!B57,2)+1,0)</f>
        <v>46391</v>
      </c>
      <c r="N57">
        <f>IF(AND(L57&lt;&gt;"",ISNUMBER(Encargado!B57)),1,0)</f>
        <v>1</v>
      </c>
      <c r="O57">
        <f>IF(OR(N57=0,P57=1),0,IF(ISBLANK(Encargado!H57),MAX(0,ROUND(N(Encargado!G57)-N(Encargado!N57),3),N(Encargado!J57)),N(Encargado!J57)))</f>
        <v>17</v>
      </c>
      <c r="P57">
        <f>IF(N57=0,0,IF(AND(OR(Encargado!AL57="Previsión",Encargado!AL57="Por confirmar",AND(Encargado!AL57="Adelanto en pausa",ISNUMBER(Encargado!G57),Encargado!AA57=""),Encargado!AL57="Preparar",Encargado!AL57="Completar",Encargado!AL57="Hecho",Encargado!AL57="Cubierto con stock",Encargado!AL57="Sin pedido"),OR(Encargado!AL57&lt;&gt;"Previsión",ISNUMBER(Encargado!G57))),0,1))</f>
        <v>0</v>
      </c>
      <c r="Q57">
        <f>IF(AND(N57=1,Encargado!P57&lt;&gt;""),1,0)</f>
        <v>0</v>
      </c>
    </row>
    <row r="58" spans="12:17">
      <c r="L58" t="str">
        <f>IF(Encargado!A58="","",Encargado!A58)</f>
        <v>Base Ponzu</v>
      </c>
      <c r="M58">
        <f>IF(ISNUMBER(Encargado!B58),Encargado!B58-WEEKDAY(Encargado!B58,2)+1,0)</f>
        <v>46391</v>
      </c>
      <c r="N58">
        <f>IF(AND(L58&lt;&gt;"",ISNUMBER(Encargado!B58)),1,0)</f>
        <v>1</v>
      </c>
      <c r="O58">
        <f>IF(OR(N58=0,P58=1),0,IF(ISBLANK(Encargado!H58),MAX(0,ROUND(N(Encargado!G58)-N(Encargado!N58),3),N(Encargado!J58)),N(Encargado!J58)))</f>
        <v>3</v>
      </c>
      <c r="P58">
        <f>IF(N58=0,0,IF(AND(OR(Encargado!AL58="Previsión",Encargado!AL58="Por confirmar",AND(Encargado!AL58="Adelanto en pausa",ISNUMBER(Encargado!G58),Encargado!AA58=""),Encargado!AL58="Preparar",Encargado!AL58="Completar",Encargado!AL58="Hecho",Encargado!AL58="Cubierto con stock",Encargado!AL58="Sin pedido"),OR(Encargado!AL58&lt;&gt;"Previsión",ISNUMBER(Encargado!G58))),0,1))</f>
        <v>0</v>
      </c>
      <c r="Q58">
        <f>IF(AND(N58=1,Encargado!P58&lt;&gt;""),1,0)</f>
        <v>0</v>
      </c>
    </row>
    <row r="59" spans="12:17">
      <c r="L59" t="str">
        <f>IF(Encargado!A59="","",Encargado!A59)</f>
        <v>Tsue</v>
      </c>
      <c r="M59">
        <f>IF(ISNUMBER(Encargado!B59),Encargado!B59-WEEKDAY(Encargado!B59,2)+1,0)</f>
        <v>46391</v>
      </c>
      <c r="N59">
        <f>IF(AND(L59&lt;&gt;"",ISNUMBER(Encargado!B59)),1,0)</f>
        <v>1</v>
      </c>
      <c r="O59">
        <f>IF(OR(N59=0,P59=1),0,IF(ISBLANK(Encargado!H59),MAX(0,ROUND(N(Encargado!G59)-N(Encargado!N59),3),N(Encargado!J59)),N(Encargado!J59)))</f>
        <v>25</v>
      </c>
      <c r="P59">
        <f>IF(N59=0,0,IF(AND(OR(Encargado!AL59="Previsión",Encargado!AL59="Por confirmar",AND(Encargado!AL59="Adelanto en pausa",ISNUMBER(Encargado!G59),Encargado!AA59=""),Encargado!AL59="Preparar",Encargado!AL59="Completar",Encargado!AL59="Hecho",Encargado!AL59="Cubierto con stock",Encargado!AL59="Sin pedido"),OR(Encargado!AL59&lt;&gt;"Previsión",ISNUMBER(Encargado!G59))),0,1))</f>
        <v>0</v>
      </c>
      <c r="Q59">
        <f>IF(AND(N59=1,Encargado!P59&lt;&gt;""),1,0)</f>
        <v>0</v>
      </c>
    </row>
    <row r="60" spans="12:17">
      <c r="L60" t="str">
        <f>IF(Encargado!A60="","",Encargado!A60)</f>
        <v>Salsa Teriyaki</v>
      </c>
      <c r="M60">
        <f>IF(ISNUMBER(Encargado!B60),Encargado!B60-WEEKDAY(Encargado!B60,2)+1,0)</f>
        <v>46391</v>
      </c>
      <c r="N60">
        <f>IF(AND(L60&lt;&gt;"",ISNUMBER(Encargado!B60)),1,0)</f>
        <v>1</v>
      </c>
      <c r="O60">
        <f>IF(OR(N60=0,P60=1),0,IF(ISBLANK(Encargado!H60),MAX(0,ROUND(N(Encargado!G60)-N(Encargado!N60),3),N(Encargado!J60)),N(Encargado!J60)))</f>
        <v>13</v>
      </c>
      <c r="P60">
        <f>IF(N60=0,0,IF(AND(OR(Encargado!AL60="Previsión",Encargado!AL60="Por confirmar",AND(Encargado!AL60="Adelanto en pausa",ISNUMBER(Encargado!G60),Encargado!AA60=""),Encargado!AL60="Preparar",Encargado!AL60="Completar",Encargado!AL60="Hecho",Encargado!AL60="Cubierto con stock",Encargado!AL60="Sin pedido"),OR(Encargado!AL60&lt;&gt;"Previsión",ISNUMBER(Encargado!G60))),0,1))</f>
        <v>0</v>
      </c>
      <c r="Q60">
        <f>IF(AND(N60=1,Encargado!P60&lt;&gt;""),1,0)</f>
        <v>0</v>
      </c>
    </row>
    <row r="61" spans="12:17">
      <c r="L61" t="str">
        <f>IF(Encargado!A61="","",Encargado!A61)</f>
        <v>Tsue</v>
      </c>
      <c r="M61">
        <f>IF(ISNUMBER(Encargado!B61),Encargado!B61-WEEKDAY(Encargado!B61,2)+1,0)</f>
        <v>46391</v>
      </c>
      <c r="N61">
        <f>IF(AND(L61&lt;&gt;"",ISNUMBER(Encargado!B61)),1,0)</f>
        <v>1</v>
      </c>
      <c r="O61">
        <f>IF(OR(N61=0,P61=1),0,IF(ISBLANK(Encargado!H61),MAX(0,ROUND(N(Encargado!G61)-N(Encargado!N61),3),N(Encargado!J61)),N(Encargado!J61)))</f>
        <v>25</v>
      </c>
      <c r="P61">
        <f>IF(N61=0,0,IF(AND(OR(Encargado!AL61="Previsión",Encargado!AL61="Por confirmar",AND(Encargado!AL61="Adelanto en pausa",ISNUMBER(Encargado!G61),Encargado!AA61=""),Encargado!AL61="Preparar",Encargado!AL61="Completar",Encargado!AL61="Hecho",Encargado!AL61="Cubierto con stock",Encargado!AL61="Sin pedido"),OR(Encargado!AL61&lt;&gt;"Previsión",ISNUMBER(Encargado!G61))),0,1))</f>
        <v>0</v>
      </c>
      <c r="Q61">
        <f>IF(AND(N61=1,Encargado!P61&lt;&gt;""),1,0)</f>
        <v>0</v>
      </c>
    </row>
    <row r="62" spans="12:17">
      <c r="L62" t="str">
        <f>IF(Encargado!A62="","",Encargado!A62)</f>
        <v>Mayo Spicy</v>
      </c>
      <c r="M62">
        <f>IF(ISNUMBER(Encargado!B62),Encargado!B62-WEEKDAY(Encargado!B62,2)+1,0)</f>
        <v>46398</v>
      </c>
      <c r="N62">
        <f>IF(AND(L62&lt;&gt;"",ISNUMBER(Encargado!B62)),1,0)</f>
        <v>1</v>
      </c>
      <c r="O62">
        <f>IF(OR(N62=0,P62=1),0,IF(ISBLANK(Encargado!H62),MAX(0,ROUND(N(Encargado!G62)-N(Encargado!N62),3),N(Encargado!J62)),N(Encargado!J62)))</f>
        <v>2.833</v>
      </c>
      <c r="P62">
        <f>IF(N62=0,0,IF(AND(OR(Encargado!AL62="Previsión",Encargado!AL62="Por confirmar",AND(Encargado!AL62="Adelanto en pausa",ISNUMBER(Encargado!G62),Encargado!AA62=""),Encargado!AL62="Preparar",Encargado!AL62="Completar",Encargado!AL62="Hecho",Encargado!AL62="Cubierto con stock",Encargado!AL62="Sin pedido"),OR(Encargado!AL62&lt;&gt;"Previsión",ISNUMBER(Encargado!G62))),0,1))</f>
        <v>0</v>
      </c>
      <c r="Q62">
        <f>IF(AND(N62=1,Encargado!P62&lt;&gt;""),1,0)</f>
        <v>0</v>
      </c>
    </row>
    <row r="63" spans="12:17">
      <c r="L63" t="str">
        <f>IF(Encargado!A63="","",Encargado!A63)</f>
        <v>Manteca Batayaki</v>
      </c>
      <c r="M63">
        <f>IF(ISNUMBER(Encargado!B63),Encargado!B63-WEEKDAY(Encargado!B63,2)+1,0)</f>
        <v>46405</v>
      </c>
      <c r="N63">
        <f>IF(AND(L63&lt;&gt;"",ISNUMBER(Encargado!B63)),1,0)</f>
        <v>1</v>
      </c>
      <c r="O63">
        <f>IF(OR(N63=0,P63=1),0,IF(ISBLANK(Encargado!H63),MAX(0,ROUND(N(Encargado!G63)-N(Encargado!N63),3),N(Encargado!J63)),N(Encargado!J63)))</f>
        <v>10</v>
      </c>
      <c r="P63">
        <f>IF(N63=0,0,IF(AND(OR(Encargado!AL63="Previsión",Encargado!AL63="Por confirmar",AND(Encargado!AL63="Adelanto en pausa",ISNUMBER(Encargado!G63),Encargado!AA63=""),Encargado!AL63="Preparar",Encargado!AL63="Completar",Encargado!AL63="Hecho",Encargado!AL63="Cubierto con stock",Encargado!AL63="Sin pedido"),OR(Encargado!AL63&lt;&gt;"Previsión",ISNUMBER(Encargado!G63))),0,1))</f>
        <v>0</v>
      </c>
      <c r="Q63">
        <f>IF(AND(N63=1,Encargado!P63&lt;&gt;""),1,0)</f>
        <v>0</v>
      </c>
    </row>
    <row r="64" spans="12:17">
      <c r="L64" t="str">
        <f>IF(Encargado!A64="","",Encargado!A64)</f>
        <v>Mayo Spicy</v>
      </c>
      <c r="M64">
        <f>IF(ISNUMBER(Encargado!B64),Encargado!B64-WEEKDAY(Encargado!B64,2)+1,0)</f>
        <v>46405</v>
      </c>
      <c r="N64">
        <f>IF(AND(L64&lt;&gt;"",ISNUMBER(Encargado!B64)),1,0)</f>
        <v>1</v>
      </c>
      <c r="O64">
        <f>IF(OR(N64=0,P64=1),0,IF(ISBLANK(Encargado!H64),MAX(0,ROUND(N(Encargado!G64)-N(Encargado!N64),3),N(Encargado!J64)),N(Encargado!J64)))</f>
        <v>3.5</v>
      </c>
      <c r="P64">
        <f>IF(N64=0,0,IF(AND(OR(Encargado!AL64="Previsión",Encargado!AL64="Por confirmar",AND(Encargado!AL64="Adelanto en pausa",ISNUMBER(Encargado!G64),Encargado!AA64=""),Encargado!AL64="Preparar",Encargado!AL64="Completar",Encargado!AL64="Hecho",Encargado!AL64="Cubierto con stock",Encargado!AL64="Sin pedido"),OR(Encargado!AL64&lt;&gt;"Previsión",ISNUMBER(Encargado!G64))),0,1))</f>
        <v>0</v>
      </c>
      <c r="Q64">
        <f>IF(AND(N64=1,Encargado!P64&lt;&gt;""),1,0)</f>
        <v>0</v>
      </c>
    </row>
    <row r="65" spans="12:17">
      <c r="L65" t="str">
        <f>IF(Encargado!A65="","",Encargado!A65)</f>
        <v>Manteca Hisosu</v>
      </c>
      <c r="M65">
        <f>IF(ISNUMBER(Encargado!B65),Encargado!B65-WEEKDAY(Encargado!B65,2)+1,0)</f>
        <v>46405</v>
      </c>
      <c r="N65">
        <f>IF(AND(L65&lt;&gt;"",ISNUMBER(Encargado!B65)),1,0)</f>
        <v>1</v>
      </c>
      <c r="O65">
        <f>IF(OR(N65=0,P65=1),0,IF(ISBLANK(Encargado!H65),MAX(0,ROUND(N(Encargado!G65)-N(Encargado!N65),3),N(Encargado!J65)),N(Encargado!J65)))</f>
        <v>14</v>
      </c>
      <c r="P65">
        <f>IF(N65=0,0,IF(AND(OR(Encargado!AL65="Previsión",Encargado!AL65="Por confirmar",AND(Encargado!AL65="Adelanto en pausa",ISNUMBER(Encargado!G65),Encargado!AA65=""),Encargado!AL65="Preparar",Encargado!AL65="Completar",Encargado!AL65="Hecho",Encargado!AL65="Cubierto con stock",Encargado!AL65="Sin pedido"),OR(Encargado!AL65&lt;&gt;"Previsión",ISNUMBER(Encargado!G65))),0,1))</f>
        <v>0</v>
      </c>
      <c r="Q65">
        <f>IF(AND(N65=1,Encargado!P65&lt;&gt;""),1,0)</f>
        <v>0</v>
      </c>
    </row>
    <row r="66" spans="12:17">
      <c r="L66" t="str">
        <f>IF(Encargado!A66="","",Encargado!A66)</f>
        <v>Pachikay</v>
      </c>
      <c r="M66">
        <f>IF(ISNUMBER(Encargado!B66),Encargado!B66-WEEKDAY(Encargado!B66,2)+1,0)</f>
        <v>46405</v>
      </c>
      <c r="N66">
        <f>IF(AND(L66&lt;&gt;"",ISNUMBER(Encargado!B66)),1,0)</f>
        <v>1</v>
      </c>
      <c r="O66">
        <f>IF(OR(N66=0,P66=1),0,IF(ISBLANK(Encargado!H66),MAX(0,ROUND(N(Encargado!G66)-N(Encargado!N66),3),N(Encargado!J66)),N(Encargado!J66)))</f>
        <v>2</v>
      </c>
      <c r="P66">
        <f>IF(N66=0,0,IF(AND(OR(Encargado!AL66="Previsión",Encargado!AL66="Por confirmar",AND(Encargado!AL66="Adelanto en pausa",ISNUMBER(Encargado!G66),Encargado!AA66=""),Encargado!AL66="Preparar",Encargado!AL66="Completar",Encargado!AL66="Hecho",Encargado!AL66="Cubierto con stock",Encargado!AL66="Sin pedido"),OR(Encargado!AL66&lt;&gt;"Previsión",ISNUMBER(Encargado!G66))),0,1))</f>
        <v>0</v>
      </c>
      <c r="Q66">
        <f>IF(AND(N66=1,Encargado!P66&lt;&gt;""),1,0)</f>
        <v>0</v>
      </c>
    </row>
    <row r="67" spans="12:17">
      <c r="L67" t="str">
        <f>IF(Encargado!A67="","",Encargado!A67)</f>
        <v>Furilot</v>
      </c>
      <c r="M67">
        <f>IF(ISNUMBER(Encargado!B67),Encargado!B67-WEEKDAY(Encargado!B67,2)+1,0)</f>
        <v>46405</v>
      </c>
      <c r="N67">
        <f>IF(AND(L67&lt;&gt;"",ISNUMBER(Encargado!B67)),1,0)</f>
        <v>1</v>
      </c>
      <c r="O67">
        <f>IF(OR(N67=0,P67=1),0,IF(ISBLANK(Encargado!H67),MAX(0,ROUND(N(Encargado!G67)-N(Encargado!N67),3),N(Encargado!J67)),N(Encargado!J67)))</f>
        <v>8</v>
      </c>
      <c r="P67">
        <f>IF(N67=0,0,IF(AND(OR(Encargado!AL67="Previsión",Encargado!AL67="Por confirmar",AND(Encargado!AL67="Adelanto en pausa",ISNUMBER(Encargado!G67),Encargado!AA67=""),Encargado!AL67="Preparar",Encargado!AL67="Completar",Encargado!AL67="Hecho",Encargado!AL67="Cubierto con stock",Encargado!AL67="Sin pedido"),OR(Encargado!AL67&lt;&gt;"Previsión",ISNUMBER(Encargado!G67))),0,1))</f>
        <v>0</v>
      </c>
      <c r="Q67">
        <f>IF(AND(N67=1,Encargado!P67&lt;&gt;""),1,0)</f>
        <v>0</v>
      </c>
    </row>
    <row r="68" spans="12:17">
      <c r="L68" t="str">
        <f>IF(Encargado!A68="","",Encargado!A68)</f>
        <v>Umami</v>
      </c>
      <c r="M68">
        <f>IF(ISNUMBER(Encargado!B68),Encargado!B68-WEEKDAY(Encargado!B68,2)+1,0)</f>
        <v>46405</v>
      </c>
      <c r="N68">
        <f>IF(AND(L68&lt;&gt;"",ISNUMBER(Encargado!B68)),1,0)</f>
        <v>1</v>
      </c>
      <c r="O68">
        <f>IF(OR(N68=0,P68=1),0,IF(ISBLANK(Encargado!H68),MAX(0,ROUND(N(Encargado!G68)-N(Encargado!N68),3),N(Encargado!J68)),N(Encargado!J68)))</f>
        <v>13</v>
      </c>
      <c r="P68">
        <f>IF(N68=0,0,IF(AND(OR(Encargado!AL68="Previsión",Encargado!AL68="Por confirmar",AND(Encargado!AL68="Adelanto en pausa",ISNUMBER(Encargado!G68),Encargado!AA68=""),Encargado!AL68="Preparar",Encargado!AL68="Completar",Encargado!AL68="Hecho",Encargado!AL68="Cubierto con stock",Encargado!AL68="Sin pedido"),OR(Encargado!AL68&lt;&gt;"Previsión",ISNUMBER(Encargado!G68))),0,1))</f>
        <v>0</v>
      </c>
      <c r="Q68">
        <f>IF(AND(N68=1,Encargado!P68&lt;&gt;""),1,0)</f>
        <v>0</v>
      </c>
    </row>
    <row r="69" spans="12:17">
      <c r="L69" t="str">
        <f>IF(Encargado!A69="","",Encargado!A69)</f>
        <v>Tsue</v>
      </c>
      <c r="M69">
        <f>IF(ISNUMBER(Encargado!B69),Encargado!B69-WEEKDAY(Encargado!B69,2)+1,0)</f>
        <v>46405</v>
      </c>
      <c r="N69">
        <f>IF(AND(L69&lt;&gt;"",ISNUMBER(Encargado!B69)),1,0)</f>
        <v>1</v>
      </c>
      <c r="O69">
        <f>IF(OR(N69=0,P69=1),0,IF(ISBLANK(Encargado!H69),MAX(0,ROUND(N(Encargado!G69)-N(Encargado!N69),3),N(Encargado!J69)),N(Encargado!J69)))</f>
        <v>34</v>
      </c>
      <c r="P69">
        <f>IF(N69=0,0,IF(AND(OR(Encargado!AL69="Previsión",Encargado!AL69="Por confirmar",AND(Encargado!AL69="Adelanto en pausa",ISNUMBER(Encargado!G69),Encargado!AA69=""),Encargado!AL69="Preparar",Encargado!AL69="Completar",Encargado!AL69="Hecho",Encargado!AL69="Cubierto con stock",Encargado!AL69="Sin pedido"),OR(Encargado!AL69&lt;&gt;"Previsión",ISNUMBER(Encargado!G69))),0,1))</f>
        <v>0</v>
      </c>
      <c r="Q69">
        <f>IF(AND(N69=1,Encargado!P69&lt;&gt;""),1,0)</f>
        <v>0</v>
      </c>
    </row>
    <row r="70" spans="12:17">
      <c r="L70" t="str">
        <f>IF(Encargado!A70="","",Encargado!A70)</f>
        <v>Gari</v>
      </c>
      <c r="M70">
        <f>IF(ISNUMBER(Encargado!B70),Encargado!B70-WEEKDAY(Encargado!B70,2)+1,0)</f>
        <v>46405</v>
      </c>
      <c r="N70">
        <f>IF(AND(L70&lt;&gt;"",ISNUMBER(Encargado!B70)),1,0)</f>
        <v>1</v>
      </c>
      <c r="O70">
        <f>IF(OR(N70=0,P70=1),0,IF(ISBLANK(Encargado!H70),MAX(0,ROUND(N(Encargado!G70)-N(Encargado!N70),3),N(Encargado!J70)),N(Encargado!J70)))</f>
        <v>18</v>
      </c>
      <c r="P70">
        <f>IF(N70=0,0,IF(AND(OR(Encargado!AL70="Previsión",Encargado!AL70="Por confirmar",AND(Encargado!AL70="Adelanto en pausa",ISNUMBER(Encargado!G70),Encargado!AA70=""),Encargado!AL70="Preparar",Encargado!AL70="Completar",Encargado!AL70="Hecho",Encargado!AL70="Cubierto con stock",Encargado!AL70="Sin pedido"),OR(Encargado!AL70&lt;&gt;"Previsión",ISNUMBER(Encargado!G70))),0,1))</f>
        <v>0</v>
      </c>
      <c r="Q70">
        <f>IF(AND(N70=1,Encargado!P70&lt;&gt;""),1,0)</f>
        <v>0</v>
      </c>
    </row>
    <row r="71" spans="12:17">
      <c r="L71" t="str">
        <f>IF(Encargado!A71="","",Encargado!A71)</f>
        <v>Mayo Spicy</v>
      </c>
      <c r="M71">
        <f>IF(ISNUMBER(Encargado!B71),Encargado!B71-WEEKDAY(Encargado!B71,2)+1,0)</f>
        <v>46412</v>
      </c>
      <c r="N71">
        <f>IF(AND(L71&lt;&gt;"",ISNUMBER(Encargado!B71)),1,0)</f>
        <v>1</v>
      </c>
      <c r="O71">
        <f>IF(OR(N71=0,P71=1),0,IF(ISBLANK(Encargado!H71),MAX(0,ROUND(N(Encargado!G71)-N(Encargado!N71),3),N(Encargado!J71)),N(Encargado!J71)))</f>
        <v>3</v>
      </c>
      <c r="P71">
        <f>IF(N71=0,0,IF(AND(OR(Encargado!AL71="Previsión",Encargado!AL71="Por confirmar",AND(Encargado!AL71="Adelanto en pausa",ISNUMBER(Encargado!G71),Encargado!AA71=""),Encargado!AL71="Preparar",Encargado!AL71="Completar",Encargado!AL71="Hecho",Encargado!AL71="Cubierto con stock",Encargado!AL71="Sin pedido"),OR(Encargado!AL71&lt;&gt;"Previsión",ISNUMBER(Encargado!G71))),0,1))</f>
        <v>0</v>
      </c>
      <c r="Q71">
        <f>IF(AND(N71=1,Encargado!P71&lt;&gt;""),1,0)</f>
        <v>0</v>
      </c>
    </row>
    <row r="72" spans="12:17">
      <c r="L72" t="str">
        <f>IF(Encargado!A72="","",Encargado!A72)</f>
        <v>Tsue</v>
      </c>
      <c r="M72">
        <f>IF(ISNUMBER(Encargado!B72),Encargado!B72-WEEKDAY(Encargado!B72,2)+1,0)</f>
        <v>46412</v>
      </c>
      <c r="N72">
        <f>IF(AND(L72&lt;&gt;"",ISNUMBER(Encargado!B72)),1,0)</f>
        <v>1</v>
      </c>
      <c r="O72">
        <f>IF(OR(N72=0,P72=1),0,IF(ISBLANK(Encargado!H72),MAX(0,ROUND(N(Encargado!G72)-N(Encargado!N72),3),N(Encargado!J72)),N(Encargado!J72)))</f>
        <v>33</v>
      </c>
      <c r="P72">
        <f>IF(N72=0,0,IF(AND(OR(Encargado!AL72="Previsión",Encargado!AL72="Por confirmar",AND(Encargado!AL72="Adelanto en pausa",ISNUMBER(Encargado!G72),Encargado!AA72=""),Encargado!AL72="Preparar",Encargado!AL72="Completar",Encargado!AL72="Hecho",Encargado!AL72="Cubierto con stock",Encargado!AL72="Sin pedido"),OR(Encargado!AL72&lt;&gt;"Previsión",ISNUMBER(Encargado!G72))),0,1))</f>
        <v>0</v>
      </c>
      <c r="Q72">
        <f>IF(AND(N72=1,Encargado!P72&lt;&gt;""),1,0)</f>
        <v>0</v>
      </c>
    </row>
    <row r="73" spans="12:17">
      <c r="L73" t="str">
        <f>IF(Encargado!A73="","",Encargado!A73)</f>
        <v>Salsa Teriyaki</v>
      </c>
      <c r="M73">
        <f>IF(ISNUMBER(Encargado!B73),Encargado!B73-WEEKDAY(Encargado!B73,2)+1,0)</f>
        <v>46412</v>
      </c>
      <c r="N73">
        <f>IF(AND(L73&lt;&gt;"",ISNUMBER(Encargado!B73)),1,0)</f>
        <v>1</v>
      </c>
      <c r="O73">
        <f>IF(OR(N73=0,P73=1),0,IF(ISBLANK(Encargado!H73),MAX(0,ROUND(N(Encargado!G73)-N(Encargado!N73),3),N(Encargado!J73)),N(Encargado!J73)))</f>
        <v>15</v>
      </c>
      <c r="P73">
        <f>IF(N73=0,0,IF(AND(OR(Encargado!AL73="Previsión",Encargado!AL73="Por confirmar",AND(Encargado!AL73="Adelanto en pausa",ISNUMBER(Encargado!G73),Encargado!AA73=""),Encargado!AL73="Preparar",Encargado!AL73="Completar",Encargado!AL73="Hecho",Encargado!AL73="Cubierto con stock",Encargado!AL73="Sin pedido"),OR(Encargado!AL73&lt;&gt;"Previsión",ISNUMBER(Encargado!G73))),0,1))</f>
        <v>0</v>
      </c>
      <c r="Q73">
        <f>IF(AND(N73=1,Encargado!P73&lt;&gt;""),1,0)</f>
        <v>0</v>
      </c>
    </row>
    <row r="74" spans="12:17">
      <c r="L74" t="str">
        <f>IF(Encargado!A74="","",Encargado!A74)</f>
        <v>Tsue</v>
      </c>
      <c r="M74">
        <f>IF(ISNUMBER(Encargado!B74),Encargado!B74-WEEKDAY(Encargado!B74,2)+1,0)</f>
        <v>46412</v>
      </c>
      <c r="N74">
        <f>IF(AND(L74&lt;&gt;"",ISNUMBER(Encargado!B74)),1,0)</f>
        <v>1</v>
      </c>
      <c r="O74">
        <f>IF(OR(N74=0,P74=1),0,IF(ISBLANK(Encargado!H74),MAX(0,ROUND(N(Encargado!G74)-N(Encargado!N74),3),N(Encargado!J74)),N(Encargado!J74)))</f>
        <v>33</v>
      </c>
      <c r="P74">
        <f>IF(N74=0,0,IF(AND(OR(Encargado!AL74="Previsión",Encargado!AL74="Por confirmar",AND(Encargado!AL74="Adelanto en pausa",ISNUMBER(Encargado!G74),Encargado!AA74=""),Encargado!AL74="Preparar",Encargado!AL74="Completar",Encargado!AL74="Hecho",Encargado!AL74="Cubierto con stock",Encargado!AL74="Sin pedido"),OR(Encargado!AL74&lt;&gt;"Previsión",ISNUMBER(Encargado!G74))),0,1))</f>
        <v>0</v>
      </c>
      <c r="Q74">
        <f>IF(AND(N74=1,Encargado!P74&lt;&gt;""),1,0)</f>
        <v>0</v>
      </c>
    </row>
    <row r="75" spans="12:17">
      <c r="L75" t="str">
        <f>IF(Encargado!A75="","",Encargado!A75)</f>
        <v>Base Ponzu</v>
      </c>
      <c r="M75">
        <f>IF(ISNUMBER(Encargado!B75),Encargado!B75-WEEKDAY(Encargado!B75,2)+1,0)</f>
        <v>46412</v>
      </c>
      <c r="N75">
        <f>IF(AND(L75&lt;&gt;"",ISNUMBER(Encargado!B75)),1,0)</f>
        <v>1</v>
      </c>
      <c r="O75">
        <f>IF(OR(N75=0,P75=1),0,IF(ISBLANK(Encargado!H75),MAX(0,ROUND(N(Encargado!G75)-N(Encargado!N75),3),N(Encargado!J75)),N(Encargado!J75)))</f>
        <v>4</v>
      </c>
      <c r="P75">
        <f>IF(N75=0,0,IF(AND(OR(Encargado!AL75="Previsión",Encargado!AL75="Por confirmar",AND(Encargado!AL75="Adelanto en pausa",ISNUMBER(Encargado!G75),Encargado!AA75=""),Encargado!AL75="Preparar",Encargado!AL75="Completar",Encargado!AL75="Hecho",Encargado!AL75="Cubierto con stock",Encargado!AL75="Sin pedido"),OR(Encargado!AL75&lt;&gt;"Previsión",ISNUMBER(Encargado!G75))),0,1))</f>
        <v>0</v>
      </c>
      <c r="Q75">
        <f>IF(AND(N75=1,Encargado!P75&lt;&gt;""),1,0)</f>
        <v>0</v>
      </c>
    </row>
    <row r="76" spans="12:17">
      <c r="L76" t="str">
        <f>IF(Encargado!A76="","",Encargado!A76)</f>
        <v>Umami</v>
      </c>
      <c r="M76">
        <f>IF(ISNUMBER(Encargado!B76),Encargado!B76-WEEKDAY(Encargado!B76,2)+1,0)</f>
        <v>46419</v>
      </c>
      <c r="N76">
        <f>IF(AND(L76&lt;&gt;"",ISNUMBER(Encargado!B76)),1,0)</f>
        <v>1</v>
      </c>
      <c r="O76">
        <f>IF(OR(N76=0,P76=1),0,IF(ISBLANK(Encargado!H76),MAX(0,ROUND(N(Encargado!G76)-N(Encargado!N76),3),N(Encargado!J76)),N(Encargado!J76)))</f>
        <v>13</v>
      </c>
      <c r="P76">
        <f>IF(N76=0,0,IF(AND(OR(Encargado!AL76="Previsión",Encargado!AL76="Por confirmar",AND(Encargado!AL76="Adelanto en pausa",ISNUMBER(Encargado!G76),Encargado!AA76=""),Encargado!AL76="Preparar",Encargado!AL76="Completar",Encargado!AL76="Hecho",Encargado!AL76="Cubierto con stock",Encargado!AL76="Sin pedido"),OR(Encargado!AL76&lt;&gt;"Previsión",ISNUMBER(Encargado!G76))),0,1))</f>
        <v>0</v>
      </c>
      <c r="Q76">
        <f>IF(AND(N76=1,Encargado!P76&lt;&gt;""),1,0)</f>
        <v>0</v>
      </c>
    </row>
    <row r="77" spans="12:17">
      <c r="L77" t="str">
        <f>IF(Encargado!A77="","",Encargado!A77)</f>
        <v>Gari</v>
      </c>
      <c r="M77">
        <f>IF(ISNUMBER(Encargado!B77),Encargado!B77-WEEKDAY(Encargado!B77,2)+1,0)</f>
        <v>46419</v>
      </c>
      <c r="N77">
        <f>IF(AND(L77&lt;&gt;"",ISNUMBER(Encargado!B77)),1,0)</f>
        <v>1</v>
      </c>
      <c r="O77">
        <f>IF(OR(N77=0,P77=1),0,IF(ISBLANK(Encargado!H77),MAX(0,ROUND(N(Encargado!G77)-N(Encargado!N77),3),N(Encargado!J77)),N(Encargado!J77)))</f>
        <v>18</v>
      </c>
      <c r="P77">
        <f>IF(N77=0,0,IF(AND(OR(Encargado!AL77="Previsión",Encargado!AL77="Por confirmar",AND(Encargado!AL77="Adelanto en pausa",ISNUMBER(Encargado!G77),Encargado!AA77=""),Encargado!AL77="Preparar",Encargado!AL77="Completar",Encargado!AL77="Hecho",Encargado!AL77="Cubierto con stock",Encargado!AL77="Sin pedido"),OR(Encargado!AL77&lt;&gt;"Previsión",ISNUMBER(Encargado!G77))),0,1))</f>
        <v>0</v>
      </c>
      <c r="Q77">
        <f>IF(AND(N77=1,Encargado!P77&lt;&gt;""),1,0)</f>
        <v>0</v>
      </c>
    </row>
    <row r="78" spans="12:17">
      <c r="L78" t="str">
        <f>IF(Encargado!A78="","",Encargado!A78)</f>
        <v>Furikake</v>
      </c>
      <c r="M78">
        <f>IF(ISNUMBER(Encargado!B78),Encargado!B78-WEEKDAY(Encargado!B78,2)+1,0)</f>
        <v>46419</v>
      </c>
      <c r="N78">
        <f>IF(AND(L78&lt;&gt;"",ISNUMBER(Encargado!B78)),1,0)</f>
        <v>1</v>
      </c>
      <c r="O78">
        <f>IF(OR(N78=0,P78=1),0,IF(ISBLANK(Encargado!H78),MAX(0,ROUND(N(Encargado!G78)-N(Encargado!N78),3),N(Encargado!J78)),N(Encargado!J78)))</f>
        <v>3</v>
      </c>
      <c r="P78">
        <f>IF(N78=0,0,IF(AND(OR(Encargado!AL78="Previsión",Encargado!AL78="Por confirmar",AND(Encargado!AL78="Adelanto en pausa",ISNUMBER(Encargado!G78),Encargado!AA78=""),Encargado!AL78="Preparar",Encargado!AL78="Completar",Encargado!AL78="Hecho",Encargado!AL78="Cubierto con stock",Encargado!AL78="Sin pedido"),OR(Encargado!AL78&lt;&gt;"Previsión",ISNUMBER(Encargado!G78))),0,1))</f>
        <v>0</v>
      </c>
      <c r="Q78">
        <f>IF(AND(N78=1,Encargado!P78&lt;&gt;""),1,0)</f>
        <v>0</v>
      </c>
    </row>
    <row r="79" spans="12:17">
      <c r="L79" t="str">
        <f>IF(Encargado!A79="","",Encargado!A79)</f>
        <v>Manteca Batayaki</v>
      </c>
      <c r="M79">
        <f>IF(ISNUMBER(Encargado!B79),Encargado!B79-WEEKDAY(Encargado!B79,2)+1,0)</f>
        <v>46419</v>
      </c>
      <c r="N79">
        <f>IF(AND(L79&lt;&gt;"",ISNUMBER(Encargado!B79)),1,0)</f>
        <v>1</v>
      </c>
      <c r="O79">
        <f>IF(OR(N79=0,P79=1),0,IF(ISBLANK(Encargado!H79),MAX(0,ROUND(N(Encargado!G79)-N(Encargado!N79),3),N(Encargado!J79)),N(Encargado!J79)))</f>
        <v>5</v>
      </c>
      <c r="P79">
        <f>IF(N79=0,0,IF(AND(OR(Encargado!AL79="Previsión",Encargado!AL79="Por confirmar",AND(Encargado!AL79="Adelanto en pausa",ISNUMBER(Encargado!G79),Encargado!AA79=""),Encargado!AL79="Preparar",Encargado!AL79="Completar",Encargado!AL79="Hecho",Encargado!AL79="Cubierto con stock",Encargado!AL79="Sin pedido"),OR(Encargado!AL79&lt;&gt;"Previsión",ISNUMBER(Encargado!G79))),0,1))</f>
        <v>0</v>
      </c>
      <c r="Q79">
        <f>IF(AND(N79=1,Encargado!P79&lt;&gt;""),1,0)</f>
        <v>0</v>
      </c>
    </row>
    <row r="80" spans="12:17">
      <c r="L80" t="str">
        <f>IF(Encargado!A80="","",Encargado!A80)</f>
        <v>Furilot</v>
      </c>
      <c r="M80">
        <f>IF(ISNUMBER(Encargado!B80),Encargado!B80-WEEKDAY(Encargado!B80,2)+1,0)</f>
        <v>46419</v>
      </c>
      <c r="N80">
        <f>IF(AND(L80&lt;&gt;"",ISNUMBER(Encargado!B80)),1,0)</f>
        <v>1</v>
      </c>
      <c r="O80">
        <f>IF(OR(N80=0,P80=1),0,IF(ISBLANK(Encargado!H80),MAX(0,ROUND(N(Encargado!G80)-N(Encargado!N80),3),N(Encargado!J80)),N(Encargado!J80)))</f>
        <v>3</v>
      </c>
      <c r="P80">
        <f>IF(N80=0,0,IF(AND(OR(Encargado!AL80="Previsión",Encargado!AL80="Por confirmar",AND(Encargado!AL80="Adelanto en pausa",ISNUMBER(Encargado!G80),Encargado!AA80=""),Encargado!AL80="Preparar",Encargado!AL80="Completar",Encargado!AL80="Hecho",Encargado!AL80="Cubierto con stock",Encargado!AL80="Sin pedido"),OR(Encargado!AL80&lt;&gt;"Previsión",ISNUMBER(Encargado!G80))),0,1))</f>
        <v>0</v>
      </c>
      <c r="Q80">
        <f>IF(AND(N80=1,Encargado!P80&lt;&gt;""),1,0)</f>
        <v>0</v>
      </c>
    </row>
    <row r="81" spans="12:17">
      <c r="L81" t="str">
        <f>IF(Encargado!A81="","",Encargado!A81)</f>
        <v>Manteca Hisosu</v>
      </c>
      <c r="M81">
        <f>IF(ISNUMBER(Encargado!B81),Encargado!B81-WEEKDAY(Encargado!B81,2)+1,0)</f>
        <v>46419</v>
      </c>
      <c r="N81">
        <f>IF(AND(L81&lt;&gt;"",ISNUMBER(Encargado!B81)),1,0)</f>
        <v>1</v>
      </c>
      <c r="O81">
        <f>IF(OR(N81=0,P81=1),0,IF(ISBLANK(Encargado!H81),MAX(0,ROUND(N(Encargado!G81)-N(Encargado!N81),3),N(Encargado!J81)),N(Encargado!J81)))</f>
        <v>5</v>
      </c>
      <c r="P81">
        <f>IF(N81=0,0,IF(AND(OR(Encargado!AL81="Previsión",Encargado!AL81="Por confirmar",AND(Encargado!AL81="Adelanto en pausa",ISNUMBER(Encargado!G81),Encargado!AA81=""),Encargado!AL81="Preparar",Encargado!AL81="Completar",Encargado!AL81="Hecho",Encargado!AL81="Cubierto con stock",Encargado!AL81="Sin pedido"),OR(Encargado!AL81&lt;&gt;"Previsión",ISNUMBER(Encargado!G81))),0,1))</f>
        <v>0</v>
      </c>
      <c r="Q81">
        <f>IF(AND(N81=1,Encargado!P81&lt;&gt;""),1,0)</f>
        <v>0</v>
      </c>
    </row>
    <row r="82" spans="12:17">
      <c r="L82" t="str">
        <f>IF(Encargado!A82="","",Encargado!A82)</f>
        <v>Gari</v>
      </c>
      <c r="M82">
        <f>IF(ISNUMBER(Encargado!B82),Encargado!B82-WEEKDAY(Encargado!B82,2)+1,0)</f>
        <v>46426</v>
      </c>
      <c r="N82">
        <f>IF(AND(L82&lt;&gt;"",ISNUMBER(Encargado!B82)),1,0)</f>
        <v>1</v>
      </c>
      <c r="O82">
        <f>IF(OR(N82=0,P82=1),0,IF(ISBLANK(Encargado!H82),MAX(0,ROUND(N(Encargado!G82)-N(Encargado!N82),3),N(Encargado!J82)),N(Encargado!J82)))</f>
        <v>10</v>
      </c>
      <c r="P82">
        <f>IF(N82=0,0,IF(AND(OR(Encargado!AL82="Previsión",Encargado!AL82="Por confirmar",AND(Encargado!AL82="Adelanto en pausa",ISNUMBER(Encargado!G82),Encargado!AA82=""),Encargado!AL82="Preparar",Encargado!AL82="Completar",Encargado!AL82="Hecho",Encargado!AL82="Cubierto con stock",Encargado!AL82="Sin pedido"),OR(Encargado!AL82&lt;&gt;"Previsión",ISNUMBER(Encargado!G82))),0,1))</f>
        <v>0</v>
      </c>
      <c r="Q82">
        <f>IF(AND(N82=1,Encargado!P82&lt;&gt;""),1,0)</f>
        <v>0</v>
      </c>
    </row>
    <row r="83" spans="12:17">
      <c r="L83" t="str">
        <f>IF(Encargado!A83="","",Encargado!A83)</f>
        <v>Tsue</v>
      </c>
      <c r="M83">
        <f>IF(ISNUMBER(Encargado!B83),Encargado!B83-WEEKDAY(Encargado!B83,2)+1,0)</f>
        <v>46426</v>
      </c>
      <c r="N83">
        <f>IF(AND(L83&lt;&gt;"",ISNUMBER(Encargado!B83)),1,0)</f>
        <v>1</v>
      </c>
      <c r="O83">
        <f>IF(OR(N83=0,P83=1),0,IF(ISBLANK(Encargado!H83),MAX(0,ROUND(N(Encargado!G83)-N(Encargado!N83),3),N(Encargado!J83)),N(Encargado!J83)))</f>
        <v>30</v>
      </c>
      <c r="P83">
        <f>IF(N83=0,0,IF(AND(OR(Encargado!AL83="Previsión",Encargado!AL83="Por confirmar",AND(Encargado!AL83="Adelanto en pausa",ISNUMBER(Encargado!G83),Encargado!AA83=""),Encargado!AL83="Preparar",Encargado!AL83="Completar",Encargado!AL83="Hecho",Encargado!AL83="Cubierto con stock",Encargado!AL83="Sin pedido"),OR(Encargado!AL83&lt;&gt;"Previsión",ISNUMBER(Encargado!G83))),0,1))</f>
        <v>0</v>
      </c>
      <c r="Q83">
        <f>IF(AND(N83=1,Encargado!P83&lt;&gt;""),1,0)</f>
        <v>0</v>
      </c>
    </row>
    <row r="84" spans="12:17">
      <c r="L84" t="str">
        <f>IF(Encargado!A84="","",Encargado!A84)</f>
        <v>Umami</v>
      </c>
      <c r="M84">
        <f>IF(ISNUMBER(Encargado!B84),Encargado!B84-WEEKDAY(Encargado!B84,2)+1,0)</f>
        <v>46426</v>
      </c>
      <c r="N84">
        <f>IF(AND(L84&lt;&gt;"",ISNUMBER(Encargado!B84)),1,0)</f>
        <v>1</v>
      </c>
      <c r="O84">
        <f>IF(OR(N84=0,P84=1),0,IF(ISBLANK(Encargado!H84),MAX(0,ROUND(N(Encargado!G84)-N(Encargado!N84),3),N(Encargado!J84)),N(Encargado!J84)))</f>
        <v>8</v>
      </c>
      <c r="P84">
        <f>IF(N84=0,0,IF(AND(OR(Encargado!AL84="Previsión",Encargado!AL84="Por confirmar",AND(Encargado!AL84="Adelanto en pausa",ISNUMBER(Encargado!G84),Encargado!AA84=""),Encargado!AL84="Preparar",Encargado!AL84="Completar",Encargado!AL84="Hecho",Encargado!AL84="Cubierto con stock",Encargado!AL84="Sin pedido"),OR(Encargado!AL84&lt;&gt;"Previsión",ISNUMBER(Encargado!G84))),0,1))</f>
        <v>0</v>
      </c>
      <c r="Q84">
        <f>IF(AND(N84=1,Encargado!P84&lt;&gt;""),1,0)</f>
        <v>0</v>
      </c>
    </row>
    <row r="85" spans="12:17">
      <c r="L85" t="str">
        <f>IF(Encargado!A85="","",Encargado!A85)</f>
        <v>Salsa Teriyaki</v>
      </c>
      <c r="M85">
        <f>IF(ISNUMBER(Encargado!B85),Encargado!B85-WEEKDAY(Encargado!B85,2)+1,0)</f>
        <v>46426</v>
      </c>
      <c r="N85">
        <f>IF(AND(L85&lt;&gt;"",ISNUMBER(Encargado!B85)),1,0)</f>
        <v>1</v>
      </c>
      <c r="O85">
        <f>IF(OR(N85=0,P85=1),0,IF(ISBLANK(Encargado!H85),MAX(0,ROUND(N(Encargado!G85)-N(Encargado!N85),3),N(Encargado!J85)),N(Encargado!J85)))</f>
        <v>5</v>
      </c>
      <c r="P85">
        <f>IF(N85=0,0,IF(AND(OR(Encargado!AL85="Previsión",Encargado!AL85="Por confirmar",AND(Encargado!AL85="Adelanto en pausa",ISNUMBER(Encargado!G85),Encargado!AA85=""),Encargado!AL85="Preparar",Encargado!AL85="Completar",Encargado!AL85="Hecho",Encargado!AL85="Cubierto con stock",Encargado!AL85="Sin pedido"),OR(Encargado!AL85&lt;&gt;"Previsión",ISNUMBER(Encargado!G85))),0,1))</f>
        <v>0</v>
      </c>
      <c r="Q85">
        <f>IF(AND(N85=1,Encargado!P85&lt;&gt;""),1,0)</f>
        <v>0</v>
      </c>
    </row>
    <row r="86" spans="12:17">
      <c r="L86" t="str">
        <f>IF(Encargado!A86="","",Encargado!A86)</f>
        <v>Base Ponzu</v>
      </c>
      <c r="M86">
        <f>IF(ISNUMBER(Encargado!B86),Encargado!B86-WEEKDAY(Encargado!B86,2)+1,0)</f>
        <v>46426</v>
      </c>
      <c r="N86">
        <f>IF(AND(L86&lt;&gt;"",ISNUMBER(Encargado!B86)),1,0)</f>
        <v>1</v>
      </c>
      <c r="O86">
        <f>IF(OR(N86=0,P86=1),0,IF(ISBLANK(Encargado!H86),MAX(0,ROUND(N(Encargado!G86)-N(Encargado!N86),3),N(Encargado!J86)),N(Encargado!J86)))</f>
        <v>2</v>
      </c>
      <c r="P86">
        <f>IF(N86=0,0,IF(AND(OR(Encargado!AL86="Previsión",Encargado!AL86="Por confirmar",AND(Encargado!AL86="Adelanto en pausa",ISNUMBER(Encargado!G86),Encargado!AA86=""),Encargado!AL86="Preparar",Encargado!AL86="Completar",Encargado!AL86="Hecho",Encargado!AL86="Cubierto con stock",Encargado!AL86="Sin pedido"),OR(Encargado!AL86&lt;&gt;"Previsión",ISNUMBER(Encargado!G86))),0,1))</f>
        <v>0</v>
      </c>
      <c r="Q86">
        <f>IF(AND(N86=1,Encargado!P86&lt;&gt;""),1,0)</f>
        <v>0</v>
      </c>
    </row>
    <row r="87" spans="12:17">
      <c r="L87" t="str">
        <f>IF(Encargado!A87="","",Encargado!A87)</f>
        <v>Mayo Spicy</v>
      </c>
      <c r="M87">
        <f>IF(ISNUMBER(Encargado!B87),Encargado!B87-WEEKDAY(Encargado!B87,2)+1,0)</f>
        <v>46433</v>
      </c>
      <c r="N87">
        <f>IF(AND(L87&lt;&gt;"",ISNUMBER(Encargado!B87)),1,0)</f>
        <v>1</v>
      </c>
      <c r="O87">
        <f>IF(OR(N87=0,P87=1),0,IF(ISBLANK(Encargado!H87),MAX(0,ROUND(N(Encargado!G87)-N(Encargado!N87),3),N(Encargado!J87)),N(Encargado!J87)))</f>
        <v>1.615</v>
      </c>
      <c r="P87">
        <f>IF(N87=0,0,IF(AND(OR(Encargado!AL87="Previsión",Encargado!AL87="Por confirmar",AND(Encargado!AL87="Adelanto en pausa",ISNUMBER(Encargado!G87),Encargado!AA87=""),Encargado!AL87="Preparar",Encargado!AL87="Completar",Encargado!AL87="Hecho",Encargado!AL87="Cubierto con stock",Encargado!AL87="Sin pedido"),OR(Encargado!AL87&lt;&gt;"Previsión",ISNUMBER(Encargado!G87))),0,1))</f>
        <v>0</v>
      </c>
      <c r="Q87">
        <f>IF(AND(N87=1,Encargado!P87&lt;&gt;""),1,0)</f>
        <v>0</v>
      </c>
    </row>
    <row r="88" spans="12:17">
      <c r="L88" t="str">
        <f>IF(Encargado!A88="","",Encargado!A88)</f>
        <v>Mayo Spicy</v>
      </c>
      <c r="M88">
        <f>IF(ISNUMBER(Encargado!B88),Encargado!B88-WEEKDAY(Encargado!B88,2)+1,0)</f>
        <v>46440</v>
      </c>
      <c r="N88">
        <f>IF(AND(L88&lt;&gt;"",ISNUMBER(Encargado!B88)),1,0)</f>
        <v>1</v>
      </c>
      <c r="O88">
        <f>IF(OR(N88=0,P88=1),0,IF(ISBLANK(Encargado!H88),MAX(0,ROUND(N(Encargado!G88)-N(Encargado!N88),3),N(Encargado!J88)),N(Encargado!J88)))</f>
        <v>1.385</v>
      </c>
      <c r="P88">
        <f>IF(N88=0,0,IF(AND(OR(Encargado!AL88="Previsión",Encargado!AL88="Por confirmar",AND(Encargado!AL88="Adelanto en pausa",ISNUMBER(Encargado!G88),Encargado!AA88=""),Encargado!AL88="Preparar",Encargado!AL88="Completar",Encargado!AL88="Hecho",Encargado!AL88="Cubierto con stock",Encargado!AL88="Sin pedido"),OR(Encargado!AL88&lt;&gt;"Previsión",ISNUMBER(Encargado!G88))),0,1))</f>
        <v>0</v>
      </c>
      <c r="Q88">
        <f>IF(AND(N88=1,Encargado!P88&lt;&gt;""),1,0)</f>
        <v>0</v>
      </c>
    </row>
    <row r="89" spans="12:17">
      <c r="L89" t="str">
        <f>IF(Encargado!A89="","",Encargado!A89)</f>
        <v>Gari</v>
      </c>
      <c r="M89">
        <f>IF(ISNUMBER(Encargado!B89),Encargado!B89-WEEKDAY(Encargado!B89,2)+1,0)</f>
        <v>46349</v>
      </c>
      <c r="N89">
        <f>IF(AND(L89&lt;&gt;"",ISNUMBER(Encargado!B89)),1,0)</f>
        <v>1</v>
      </c>
      <c r="O89">
        <f>IF(OR(N89=0,P89=1),0,IF(ISBLANK(Encargado!H89),MAX(0,ROUND(N(Encargado!G89)-N(Encargado!N89),3),N(Encargado!J89)),N(Encargado!J89)))</f>
        <v>10</v>
      </c>
      <c r="P89">
        <f>IF(N89=0,0,IF(AND(OR(Encargado!AL89="Previsión",Encargado!AL89="Por confirmar",AND(Encargado!AL89="Adelanto en pausa",ISNUMBER(Encargado!G89),Encargado!AA89=""),Encargado!AL89="Preparar",Encargado!AL89="Completar",Encargado!AL89="Hecho",Encargado!AL89="Cubierto con stock",Encargado!AL89="Sin pedido"),OR(Encargado!AL89&lt;&gt;"Previsión",ISNUMBER(Encargado!G89))),0,1))</f>
        <v>0</v>
      </c>
      <c r="Q89">
        <f>IF(AND(N89=1,Encargado!P89&lt;&gt;""),1,0)</f>
        <v>0</v>
      </c>
    </row>
    <row r="90" spans="12:17">
      <c r="L90" t="str">
        <f>IF(Encargado!A90="","",Encargado!A90)</f>
        <v/>
      </c>
      <c r="M90">
        <f>IF(ISNUMBER(Encargado!B90),Encargado!B90-WEEKDAY(Encargado!B90,2)+1,0)</f>
        <v>0</v>
      </c>
      <c r="N90">
        <f>IF(AND(L90&lt;&gt;"",ISNUMBER(Encargado!B90)),1,0)</f>
        <v>0</v>
      </c>
      <c r="O90">
        <f>IF(OR(N90=0,P90=1),0,IF(ISBLANK(Encargado!H90),MAX(0,ROUND(N(Encargado!G90)-N(Encargado!N90),3),N(Encargado!J90)),N(Encargado!J90)))</f>
        <v>0</v>
      </c>
      <c r="P90">
        <f>IF(N90=0,0,IF(AND(OR(Encargado!AL90="Previsión",Encargado!AL90="Por confirmar",AND(Encargado!AL90="Adelanto en pausa",ISNUMBER(Encargado!G90),Encargado!AA90=""),Encargado!AL90="Preparar",Encargado!AL90="Completar",Encargado!AL90="Hecho",Encargado!AL90="Cubierto con stock",Encargado!AL90="Sin pedido"),OR(Encargado!AL90&lt;&gt;"Previsión",ISNUMBER(Encargado!G90))),0,1))</f>
        <v>0</v>
      </c>
      <c r="Q90">
        <f>IF(AND(N90=1,Encargado!P90&lt;&gt;""),1,0)</f>
        <v>0</v>
      </c>
    </row>
    <row r="91" spans="12:17">
      <c r="L91" t="str">
        <f>IF(Encargado!A91="","",Encargado!A91)</f>
        <v/>
      </c>
      <c r="M91">
        <f>IF(ISNUMBER(Encargado!B91),Encargado!B91-WEEKDAY(Encargado!B91,2)+1,0)</f>
        <v>0</v>
      </c>
      <c r="N91">
        <f>IF(AND(L91&lt;&gt;"",ISNUMBER(Encargado!B91)),1,0)</f>
        <v>0</v>
      </c>
      <c r="O91">
        <f>IF(OR(N91=0,P91=1),0,IF(ISBLANK(Encargado!H91),MAX(0,ROUND(N(Encargado!G91)-N(Encargado!N91),3),N(Encargado!J91)),N(Encargado!J91)))</f>
        <v>0</v>
      </c>
      <c r="P91">
        <f>IF(N91=0,0,IF(AND(OR(Encargado!AL91="Previsión",Encargado!AL91="Por confirmar",AND(Encargado!AL91="Adelanto en pausa",ISNUMBER(Encargado!G91),Encargado!AA91=""),Encargado!AL91="Preparar",Encargado!AL91="Completar",Encargado!AL91="Hecho",Encargado!AL91="Cubierto con stock",Encargado!AL91="Sin pedido"),OR(Encargado!AL91&lt;&gt;"Previsión",ISNUMBER(Encargado!G91))),0,1))</f>
        <v>0</v>
      </c>
      <c r="Q91">
        <f>IF(AND(N91=1,Encargado!P91&lt;&gt;""),1,0)</f>
        <v>0</v>
      </c>
    </row>
    <row r="92" spans="12:17">
      <c r="L92" t="str">
        <f>IF(Encargado!A92="","",Encargado!A92)</f>
        <v/>
      </c>
      <c r="M92">
        <f>IF(ISNUMBER(Encargado!B92),Encargado!B92-WEEKDAY(Encargado!B92,2)+1,0)</f>
        <v>0</v>
      </c>
      <c r="N92">
        <f>IF(AND(L92&lt;&gt;"",ISNUMBER(Encargado!B92)),1,0)</f>
        <v>0</v>
      </c>
      <c r="O92">
        <f>IF(OR(N92=0,P92=1),0,IF(ISBLANK(Encargado!H92),MAX(0,ROUND(N(Encargado!G92)-N(Encargado!N92),3),N(Encargado!J92)),N(Encargado!J92)))</f>
        <v>0</v>
      </c>
      <c r="P92">
        <f>IF(N92=0,0,IF(AND(OR(Encargado!AL92="Previsión",Encargado!AL92="Por confirmar",AND(Encargado!AL92="Adelanto en pausa",ISNUMBER(Encargado!G92),Encargado!AA92=""),Encargado!AL92="Preparar",Encargado!AL92="Completar",Encargado!AL92="Hecho",Encargado!AL92="Cubierto con stock",Encargado!AL92="Sin pedido"),OR(Encargado!AL92&lt;&gt;"Previsión",ISNUMBER(Encargado!G92))),0,1))</f>
        <v>0</v>
      </c>
      <c r="Q92">
        <f>IF(AND(N92=1,Encargado!P92&lt;&gt;""),1,0)</f>
        <v>0</v>
      </c>
    </row>
    <row r="93" spans="12:17">
      <c r="L93" t="str">
        <f>IF(Encargado!A93="","",Encargado!A93)</f>
        <v/>
      </c>
      <c r="M93">
        <f>IF(ISNUMBER(Encargado!B93),Encargado!B93-WEEKDAY(Encargado!B93,2)+1,0)</f>
        <v>0</v>
      </c>
      <c r="N93">
        <f>IF(AND(L93&lt;&gt;"",ISNUMBER(Encargado!B93)),1,0)</f>
        <v>0</v>
      </c>
      <c r="O93">
        <f>IF(OR(N93=0,P93=1),0,IF(ISBLANK(Encargado!H93),MAX(0,ROUND(N(Encargado!G93)-N(Encargado!N93),3),N(Encargado!J93)),N(Encargado!J93)))</f>
        <v>0</v>
      </c>
      <c r="P93">
        <f>IF(N93=0,0,IF(AND(OR(Encargado!AL93="Previsión",Encargado!AL93="Por confirmar",AND(Encargado!AL93="Adelanto en pausa",ISNUMBER(Encargado!G93),Encargado!AA93=""),Encargado!AL93="Preparar",Encargado!AL93="Completar",Encargado!AL93="Hecho",Encargado!AL93="Cubierto con stock",Encargado!AL93="Sin pedido"),OR(Encargado!AL93&lt;&gt;"Previsión",ISNUMBER(Encargado!G93))),0,1))</f>
        <v>0</v>
      </c>
      <c r="Q93">
        <f>IF(AND(N93=1,Encargado!P93&lt;&gt;""),1,0)</f>
        <v>0</v>
      </c>
    </row>
    <row r="94" spans="12:17">
      <c r="L94" t="str">
        <f>IF(Encargado!A94="","",Encargado!A94)</f>
        <v/>
      </c>
      <c r="M94">
        <f>IF(ISNUMBER(Encargado!B94),Encargado!B94-WEEKDAY(Encargado!B94,2)+1,0)</f>
        <v>0</v>
      </c>
      <c r="N94">
        <f>IF(AND(L94&lt;&gt;"",ISNUMBER(Encargado!B94)),1,0)</f>
        <v>0</v>
      </c>
      <c r="O94">
        <f>IF(OR(N94=0,P94=1),0,IF(ISBLANK(Encargado!H94),MAX(0,ROUND(N(Encargado!G94)-N(Encargado!N94),3),N(Encargado!J94)),N(Encargado!J94)))</f>
        <v>0</v>
      </c>
      <c r="P94">
        <f>IF(N94=0,0,IF(AND(OR(Encargado!AL94="Previsión",Encargado!AL94="Por confirmar",AND(Encargado!AL94="Adelanto en pausa",ISNUMBER(Encargado!G94),Encargado!AA94=""),Encargado!AL94="Preparar",Encargado!AL94="Completar",Encargado!AL94="Hecho",Encargado!AL94="Cubierto con stock",Encargado!AL94="Sin pedido"),OR(Encargado!AL94&lt;&gt;"Previsión",ISNUMBER(Encargado!G94))),0,1))</f>
        <v>0</v>
      </c>
      <c r="Q94">
        <f>IF(AND(N94=1,Encargado!P94&lt;&gt;""),1,0)</f>
        <v>0</v>
      </c>
    </row>
    <row r="95" spans="12:17">
      <c r="L95" t="str">
        <f>IF(Encargado!A95="","",Encargado!A95)</f>
        <v/>
      </c>
      <c r="M95">
        <f>IF(ISNUMBER(Encargado!B95),Encargado!B95-WEEKDAY(Encargado!B95,2)+1,0)</f>
        <v>0</v>
      </c>
      <c r="N95">
        <f>IF(AND(L95&lt;&gt;"",ISNUMBER(Encargado!B95)),1,0)</f>
        <v>0</v>
      </c>
      <c r="O95">
        <f>IF(OR(N95=0,P95=1),0,IF(ISBLANK(Encargado!H95),MAX(0,ROUND(N(Encargado!G95)-N(Encargado!N95),3),N(Encargado!J95)),N(Encargado!J95)))</f>
        <v>0</v>
      </c>
      <c r="P95">
        <f>IF(N95=0,0,IF(AND(OR(Encargado!AL95="Previsión",Encargado!AL95="Por confirmar",AND(Encargado!AL95="Adelanto en pausa",ISNUMBER(Encargado!G95),Encargado!AA95=""),Encargado!AL95="Preparar",Encargado!AL95="Completar",Encargado!AL95="Hecho",Encargado!AL95="Cubierto con stock",Encargado!AL95="Sin pedido"),OR(Encargado!AL95&lt;&gt;"Previsión",ISNUMBER(Encargado!G95))),0,1))</f>
        <v>0</v>
      </c>
      <c r="Q95">
        <f>IF(AND(N95=1,Encargado!P95&lt;&gt;""),1,0)</f>
        <v>0</v>
      </c>
    </row>
    <row r="96" spans="12:17">
      <c r="L96" t="str">
        <f>IF(Encargado!A96="","",Encargado!A96)</f>
        <v/>
      </c>
      <c r="M96">
        <f>IF(ISNUMBER(Encargado!B96),Encargado!B96-WEEKDAY(Encargado!B96,2)+1,0)</f>
        <v>0</v>
      </c>
      <c r="N96">
        <f>IF(AND(L96&lt;&gt;"",ISNUMBER(Encargado!B96)),1,0)</f>
        <v>0</v>
      </c>
      <c r="O96">
        <f>IF(OR(N96=0,P96=1),0,IF(ISBLANK(Encargado!H96),MAX(0,ROUND(N(Encargado!G96)-N(Encargado!N96),3),N(Encargado!J96)),N(Encargado!J96)))</f>
        <v>0</v>
      </c>
      <c r="P96">
        <f>IF(N96=0,0,IF(AND(OR(Encargado!AL96="Previsión",Encargado!AL96="Por confirmar",AND(Encargado!AL96="Adelanto en pausa",ISNUMBER(Encargado!G96),Encargado!AA96=""),Encargado!AL96="Preparar",Encargado!AL96="Completar",Encargado!AL96="Hecho",Encargado!AL96="Cubierto con stock",Encargado!AL96="Sin pedido"),OR(Encargado!AL96&lt;&gt;"Previsión",ISNUMBER(Encargado!G96))),0,1))</f>
        <v>0</v>
      </c>
      <c r="Q96">
        <f>IF(AND(N96=1,Encargado!P96&lt;&gt;""),1,0)</f>
        <v>0</v>
      </c>
    </row>
    <row r="97" spans="12:17">
      <c r="L97" t="str">
        <f>IF(Encargado!A97="","",Encargado!A97)</f>
        <v/>
      </c>
      <c r="M97">
        <f>IF(ISNUMBER(Encargado!B97),Encargado!B97-WEEKDAY(Encargado!B97,2)+1,0)</f>
        <v>0</v>
      </c>
      <c r="N97">
        <f>IF(AND(L97&lt;&gt;"",ISNUMBER(Encargado!B97)),1,0)</f>
        <v>0</v>
      </c>
      <c r="O97">
        <f>IF(OR(N97=0,P97=1),0,IF(ISBLANK(Encargado!H97),MAX(0,ROUND(N(Encargado!G97)-N(Encargado!N97),3),N(Encargado!J97)),N(Encargado!J97)))</f>
        <v>0</v>
      </c>
      <c r="P97">
        <f>IF(N97=0,0,IF(AND(OR(Encargado!AL97="Previsión",Encargado!AL97="Por confirmar",AND(Encargado!AL97="Adelanto en pausa",ISNUMBER(Encargado!G97),Encargado!AA97=""),Encargado!AL97="Preparar",Encargado!AL97="Completar",Encargado!AL97="Hecho",Encargado!AL97="Cubierto con stock",Encargado!AL97="Sin pedido"),OR(Encargado!AL97&lt;&gt;"Previsión",ISNUMBER(Encargado!G97))),0,1))</f>
        <v>0</v>
      </c>
      <c r="Q97">
        <f>IF(AND(N97=1,Encargado!P97&lt;&gt;""),1,0)</f>
        <v>0</v>
      </c>
    </row>
    <row r="98" spans="12:17">
      <c r="L98" t="str">
        <f>IF(Encargado!A98="","",Encargado!A98)</f>
        <v/>
      </c>
      <c r="M98">
        <f>IF(ISNUMBER(Encargado!B98),Encargado!B98-WEEKDAY(Encargado!B98,2)+1,0)</f>
        <v>0</v>
      </c>
      <c r="N98">
        <f>IF(AND(L98&lt;&gt;"",ISNUMBER(Encargado!B98)),1,0)</f>
        <v>0</v>
      </c>
      <c r="O98">
        <f>IF(OR(N98=0,P98=1),0,IF(ISBLANK(Encargado!H98),MAX(0,ROUND(N(Encargado!G98)-N(Encargado!N98),3),N(Encargado!J98)),N(Encargado!J98)))</f>
        <v>0</v>
      </c>
      <c r="P98">
        <f>IF(N98=0,0,IF(AND(OR(Encargado!AL98="Previsión",Encargado!AL98="Por confirmar",AND(Encargado!AL98="Adelanto en pausa",ISNUMBER(Encargado!G98),Encargado!AA98=""),Encargado!AL98="Preparar",Encargado!AL98="Completar",Encargado!AL98="Hecho",Encargado!AL98="Cubierto con stock",Encargado!AL98="Sin pedido"),OR(Encargado!AL98&lt;&gt;"Previsión",ISNUMBER(Encargado!G98))),0,1))</f>
        <v>0</v>
      </c>
      <c r="Q98">
        <f>IF(AND(N98=1,Encargado!P98&lt;&gt;""),1,0)</f>
        <v>0</v>
      </c>
    </row>
    <row r="99" spans="12:17">
      <c r="L99" t="str">
        <f>IF(Encargado!A99="","",Encargado!A99)</f>
        <v/>
      </c>
      <c r="M99">
        <f>IF(ISNUMBER(Encargado!B99),Encargado!B99-WEEKDAY(Encargado!B99,2)+1,0)</f>
        <v>0</v>
      </c>
      <c r="N99">
        <f>IF(AND(L99&lt;&gt;"",ISNUMBER(Encargado!B99)),1,0)</f>
        <v>0</v>
      </c>
      <c r="O99">
        <f>IF(OR(N99=0,P99=1),0,IF(ISBLANK(Encargado!H99),MAX(0,ROUND(N(Encargado!G99)-N(Encargado!N99),3),N(Encargado!J99)),N(Encargado!J99)))</f>
        <v>0</v>
      </c>
      <c r="P99">
        <f>IF(N99=0,0,IF(AND(OR(Encargado!AL99="Previsión",Encargado!AL99="Por confirmar",AND(Encargado!AL99="Adelanto en pausa",ISNUMBER(Encargado!G99),Encargado!AA99=""),Encargado!AL99="Preparar",Encargado!AL99="Completar",Encargado!AL99="Hecho",Encargado!AL99="Cubierto con stock",Encargado!AL99="Sin pedido"),OR(Encargado!AL99&lt;&gt;"Previsión",ISNUMBER(Encargado!G99))),0,1))</f>
        <v>0</v>
      </c>
      <c r="Q99">
        <f>IF(AND(N99=1,Encargado!P99&lt;&gt;""),1,0)</f>
        <v>0</v>
      </c>
    </row>
    <row r="100" spans="12:17">
      <c r="L100" t="str">
        <f>IF(Encargado!A100="","",Encargado!A100)</f>
        <v/>
      </c>
      <c r="M100">
        <f>IF(ISNUMBER(Encargado!B100),Encargado!B100-WEEKDAY(Encargado!B100,2)+1,0)</f>
        <v>0</v>
      </c>
      <c r="N100">
        <f>IF(AND(L100&lt;&gt;"",ISNUMBER(Encargado!B100)),1,0)</f>
        <v>0</v>
      </c>
      <c r="O100">
        <f>IF(OR(N100=0,P100=1),0,IF(ISBLANK(Encargado!H100),MAX(0,ROUND(N(Encargado!G100)-N(Encargado!N100),3),N(Encargado!J100)),N(Encargado!J100)))</f>
        <v>0</v>
      </c>
      <c r="P100">
        <f>IF(N100=0,0,IF(AND(OR(Encargado!AL100="Previsión",Encargado!AL100="Por confirmar",AND(Encargado!AL100="Adelanto en pausa",ISNUMBER(Encargado!G100),Encargado!AA100=""),Encargado!AL100="Preparar",Encargado!AL100="Completar",Encargado!AL100="Hecho",Encargado!AL100="Cubierto con stock",Encargado!AL100="Sin pedido"),OR(Encargado!AL100&lt;&gt;"Previsión",ISNUMBER(Encargado!G100))),0,1))</f>
        <v>0</v>
      </c>
      <c r="Q100">
        <f>IF(AND(N100=1,Encargado!P100&lt;&gt;""),1,0)</f>
        <v>0</v>
      </c>
    </row>
    <row r="101" spans="12:17">
      <c r="L101" t="str">
        <f>IF(Encargado!A101="","",Encargado!A101)</f>
        <v/>
      </c>
      <c r="M101">
        <f>IF(ISNUMBER(Encargado!B101),Encargado!B101-WEEKDAY(Encargado!B101,2)+1,0)</f>
        <v>0</v>
      </c>
      <c r="N101">
        <f>IF(AND(L101&lt;&gt;"",ISNUMBER(Encargado!B101)),1,0)</f>
        <v>0</v>
      </c>
      <c r="O101">
        <f>IF(OR(N101=0,P101=1),0,IF(ISBLANK(Encargado!H101),MAX(0,ROUND(N(Encargado!G101)-N(Encargado!N101),3),N(Encargado!J101)),N(Encargado!J101)))</f>
        <v>0</v>
      </c>
      <c r="P101">
        <f>IF(N101=0,0,IF(AND(OR(Encargado!AL101="Previsión",Encargado!AL101="Por confirmar",AND(Encargado!AL101="Adelanto en pausa",ISNUMBER(Encargado!G101),Encargado!AA101=""),Encargado!AL101="Preparar",Encargado!AL101="Completar",Encargado!AL101="Hecho",Encargado!AL101="Cubierto con stock",Encargado!AL101="Sin pedido"),OR(Encargado!AL101&lt;&gt;"Previsión",ISNUMBER(Encargado!G101))),0,1))</f>
        <v>0</v>
      </c>
      <c r="Q101">
        <f>IF(AND(N101=1,Encargado!P101&lt;&gt;""),1,0)</f>
        <v>0</v>
      </c>
    </row>
    <row r="102" spans="12:17">
      <c r="L102" t="str">
        <f>IF(Encargado!A102="","",Encargado!A102)</f>
        <v/>
      </c>
      <c r="M102">
        <f>IF(ISNUMBER(Encargado!B102),Encargado!B102-WEEKDAY(Encargado!B102,2)+1,0)</f>
        <v>0</v>
      </c>
      <c r="N102">
        <f>IF(AND(L102&lt;&gt;"",ISNUMBER(Encargado!B102)),1,0)</f>
        <v>0</v>
      </c>
      <c r="O102">
        <f>IF(OR(N102=0,P102=1),0,IF(ISBLANK(Encargado!H102),MAX(0,ROUND(N(Encargado!G102)-N(Encargado!N102),3),N(Encargado!J102)),N(Encargado!J102)))</f>
        <v>0</v>
      </c>
      <c r="P102">
        <f>IF(N102=0,0,IF(AND(OR(Encargado!AL102="Previsión",Encargado!AL102="Por confirmar",AND(Encargado!AL102="Adelanto en pausa",ISNUMBER(Encargado!G102),Encargado!AA102=""),Encargado!AL102="Preparar",Encargado!AL102="Completar",Encargado!AL102="Hecho",Encargado!AL102="Cubierto con stock",Encargado!AL102="Sin pedido"),OR(Encargado!AL102&lt;&gt;"Previsión",ISNUMBER(Encargado!G102))),0,1))</f>
        <v>0</v>
      </c>
      <c r="Q102">
        <f>IF(AND(N102=1,Encargado!P102&lt;&gt;""),1,0)</f>
        <v>0</v>
      </c>
    </row>
    <row r="103" spans="12:17">
      <c r="L103" t="str">
        <f>IF(Encargado!A103="","",Encargado!A103)</f>
        <v/>
      </c>
      <c r="M103">
        <f>IF(ISNUMBER(Encargado!B103),Encargado!B103-WEEKDAY(Encargado!B103,2)+1,0)</f>
        <v>0</v>
      </c>
      <c r="N103">
        <f>IF(AND(L103&lt;&gt;"",ISNUMBER(Encargado!B103)),1,0)</f>
        <v>0</v>
      </c>
      <c r="O103">
        <f>IF(OR(N103=0,P103=1),0,IF(ISBLANK(Encargado!H103),MAX(0,ROUND(N(Encargado!G103)-N(Encargado!N103),3),N(Encargado!J103)),N(Encargado!J103)))</f>
        <v>0</v>
      </c>
      <c r="P103">
        <f>IF(N103=0,0,IF(AND(OR(Encargado!AL103="Previsión",Encargado!AL103="Por confirmar",AND(Encargado!AL103="Adelanto en pausa",ISNUMBER(Encargado!G103),Encargado!AA103=""),Encargado!AL103="Preparar",Encargado!AL103="Completar",Encargado!AL103="Hecho",Encargado!AL103="Cubierto con stock",Encargado!AL103="Sin pedido"),OR(Encargado!AL103&lt;&gt;"Previsión",ISNUMBER(Encargado!G103))),0,1))</f>
        <v>0</v>
      </c>
      <c r="Q103">
        <f>IF(AND(N103=1,Encargado!P103&lt;&gt;""),1,0)</f>
        <v>0</v>
      </c>
    </row>
    <row r="104" spans="12:17">
      <c r="L104" t="str">
        <f>IF(Encargado!A104="","",Encargado!A104)</f>
        <v/>
      </c>
      <c r="M104">
        <f>IF(ISNUMBER(Encargado!B104),Encargado!B104-WEEKDAY(Encargado!B104,2)+1,0)</f>
        <v>0</v>
      </c>
      <c r="N104">
        <f>IF(AND(L104&lt;&gt;"",ISNUMBER(Encargado!B104)),1,0)</f>
        <v>0</v>
      </c>
      <c r="O104">
        <f>IF(OR(N104=0,P104=1),0,IF(ISBLANK(Encargado!H104),MAX(0,ROUND(N(Encargado!G104)-N(Encargado!N104),3),N(Encargado!J104)),N(Encargado!J104)))</f>
        <v>0</v>
      </c>
      <c r="P104">
        <f>IF(N104=0,0,IF(AND(OR(Encargado!AL104="Previsión",Encargado!AL104="Por confirmar",AND(Encargado!AL104="Adelanto en pausa",ISNUMBER(Encargado!G104),Encargado!AA104=""),Encargado!AL104="Preparar",Encargado!AL104="Completar",Encargado!AL104="Hecho",Encargado!AL104="Cubierto con stock",Encargado!AL104="Sin pedido"),OR(Encargado!AL104&lt;&gt;"Previsión",ISNUMBER(Encargado!G104))),0,1))</f>
        <v>0</v>
      </c>
      <c r="Q104">
        <f>IF(AND(N104=1,Encargado!P104&lt;&gt;""),1,0)</f>
        <v>0</v>
      </c>
    </row>
    <row r="105" spans="12:17">
      <c r="L105" t="str">
        <f>IF(Encargado!A105="","",Encargado!A105)</f>
        <v/>
      </c>
      <c r="M105">
        <f>IF(ISNUMBER(Encargado!B105),Encargado!B105-WEEKDAY(Encargado!B105,2)+1,0)</f>
        <v>0</v>
      </c>
      <c r="N105">
        <f>IF(AND(L105&lt;&gt;"",ISNUMBER(Encargado!B105)),1,0)</f>
        <v>0</v>
      </c>
      <c r="O105">
        <f>IF(OR(N105=0,P105=1),0,IF(ISBLANK(Encargado!H105),MAX(0,ROUND(N(Encargado!G105)-N(Encargado!N105),3),N(Encargado!J105)),N(Encargado!J105)))</f>
        <v>0</v>
      </c>
      <c r="P105">
        <f>IF(N105=0,0,IF(AND(OR(Encargado!AL105="Previsión",Encargado!AL105="Por confirmar",AND(Encargado!AL105="Adelanto en pausa",ISNUMBER(Encargado!G105),Encargado!AA105=""),Encargado!AL105="Preparar",Encargado!AL105="Completar",Encargado!AL105="Hecho",Encargado!AL105="Cubierto con stock",Encargado!AL105="Sin pedido"),OR(Encargado!AL105&lt;&gt;"Previsión",ISNUMBER(Encargado!G105))),0,1))</f>
        <v>0</v>
      </c>
      <c r="Q105">
        <f>IF(AND(N105=1,Encargado!P105&lt;&gt;""),1,0)</f>
        <v>0</v>
      </c>
    </row>
    <row r="106" spans="12:17">
      <c r="L106" t="str">
        <f>IF(Encargado!A106="","",Encargado!A106)</f>
        <v/>
      </c>
      <c r="M106">
        <f>IF(ISNUMBER(Encargado!B106),Encargado!B106-WEEKDAY(Encargado!B106,2)+1,0)</f>
        <v>0</v>
      </c>
      <c r="N106">
        <f>IF(AND(L106&lt;&gt;"",ISNUMBER(Encargado!B106)),1,0)</f>
        <v>0</v>
      </c>
      <c r="O106">
        <f>IF(OR(N106=0,P106=1),0,IF(ISBLANK(Encargado!H106),MAX(0,ROUND(N(Encargado!G106)-N(Encargado!N106),3),N(Encargado!J106)),N(Encargado!J106)))</f>
        <v>0</v>
      </c>
      <c r="P106">
        <f>IF(N106=0,0,IF(AND(OR(Encargado!AL106="Previsión",Encargado!AL106="Por confirmar",AND(Encargado!AL106="Adelanto en pausa",ISNUMBER(Encargado!G106),Encargado!AA106=""),Encargado!AL106="Preparar",Encargado!AL106="Completar",Encargado!AL106="Hecho",Encargado!AL106="Cubierto con stock",Encargado!AL106="Sin pedido"),OR(Encargado!AL106&lt;&gt;"Previsión",ISNUMBER(Encargado!G106))),0,1))</f>
        <v>0</v>
      </c>
      <c r="Q106">
        <f>IF(AND(N106=1,Encargado!P106&lt;&gt;""),1,0)</f>
        <v>0</v>
      </c>
    </row>
    <row r="107" spans="12:17">
      <c r="L107" t="str">
        <f>IF(Encargado!A107="","",Encargado!A107)</f>
        <v/>
      </c>
      <c r="M107">
        <f>IF(ISNUMBER(Encargado!B107),Encargado!B107-WEEKDAY(Encargado!B107,2)+1,0)</f>
        <v>0</v>
      </c>
      <c r="N107">
        <f>IF(AND(L107&lt;&gt;"",ISNUMBER(Encargado!B107)),1,0)</f>
        <v>0</v>
      </c>
      <c r="O107">
        <f>IF(OR(N107=0,P107=1),0,IF(ISBLANK(Encargado!H107),MAX(0,ROUND(N(Encargado!G107)-N(Encargado!N107),3),N(Encargado!J107)),N(Encargado!J107)))</f>
        <v>0</v>
      </c>
      <c r="P107">
        <f>IF(N107=0,0,IF(AND(OR(Encargado!AL107="Previsión",Encargado!AL107="Por confirmar",AND(Encargado!AL107="Adelanto en pausa",ISNUMBER(Encargado!G107),Encargado!AA107=""),Encargado!AL107="Preparar",Encargado!AL107="Completar",Encargado!AL107="Hecho",Encargado!AL107="Cubierto con stock",Encargado!AL107="Sin pedido"),OR(Encargado!AL107&lt;&gt;"Previsión",ISNUMBER(Encargado!G107))),0,1))</f>
        <v>0</v>
      </c>
      <c r="Q107">
        <f>IF(AND(N107=1,Encargado!P107&lt;&gt;""),1,0)</f>
        <v>0</v>
      </c>
    </row>
    <row r="108" spans="12:17">
      <c r="L108" t="str">
        <f>IF(Encargado!A108="","",Encargado!A108)</f>
        <v/>
      </c>
      <c r="M108">
        <f>IF(ISNUMBER(Encargado!B108),Encargado!B108-WEEKDAY(Encargado!B108,2)+1,0)</f>
        <v>0</v>
      </c>
      <c r="N108">
        <f>IF(AND(L108&lt;&gt;"",ISNUMBER(Encargado!B108)),1,0)</f>
        <v>0</v>
      </c>
      <c r="O108">
        <f>IF(OR(N108=0,P108=1),0,IF(ISBLANK(Encargado!H108),MAX(0,ROUND(N(Encargado!G108)-N(Encargado!N108),3),N(Encargado!J108)),N(Encargado!J108)))</f>
        <v>0</v>
      </c>
      <c r="P108">
        <f>IF(N108=0,0,IF(AND(OR(Encargado!AL108="Previsión",Encargado!AL108="Por confirmar",AND(Encargado!AL108="Adelanto en pausa",ISNUMBER(Encargado!G108),Encargado!AA108=""),Encargado!AL108="Preparar",Encargado!AL108="Completar",Encargado!AL108="Hecho",Encargado!AL108="Cubierto con stock",Encargado!AL108="Sin pedido"),OR(Encargado!AL108&lt;&gt;"Previsión",ISNUMBER(Encargado!G108))),0,1))</f>
        <v>0</v>
      </c>
      <c r="Q108">
        <f>IF(AND(N108=1,Encargado!P108&lt;&gt;""),1,0)</f>
        <v>0</v>
      </c>
    </row>
    <row r="109" spans="12:17">
      <c r="L109" t="str">
        <f>IF(Encargado!A109="","",Encargado!A109)</f>
        <v/>
      </c>
      <c r="M109">
        <f>IF(ISNUMBER(Encargado!B109),Encargado!B109-WEEKDAY(Encargado!B109,2)+1,0)</f>
        <v>0</v>
      </c>
      <c r="N109">
        <f>IF(AND(L109&lt;&gt;"",ISNUMBER(Encargado!B109)),1,0)</f>
        <v>0</v>
      </c>
      <c r="O109">
        <f>IF(OR(N109=0,P109=1),0,IF(ISBLANK(Encargado!H109),MAX(0,ROUND(N(Encargado!G109)-N(Encargado!N109),3),N(Encargado!J109)),N(Encargado!J109)))</f>
        <v>0</v>
      </c>
      <c r="P109">
        <f>IF(N109=0,0,IF(AND(OR(Encargado!AL109="Previsión",Encargado!AL109="Por confirmar",AND(Encargado!AL109="Adelanto en pausa",ISNUMBER(Encargado!G109),Encargado!AA109=""),Encargado!AL109="Preparar",Encargado!AL109="Completar",Encargado!AL109="Hecho",Encargado!AL109="Cubierto con stock",Encargado!AL109="Sin pedido"),OR(Encargado!AL109&lt;&gt;"Previsión",ISNUMBER(Encargado!G109))),0,1))</f>
        <v>0</v>
      </c>
      <c r="Q109">
        <f>IF(AND(N109=1,Encargado!P109&lt;&gt;""),1,0)</f>
        <v>0</v>
      </c>
    </row>
    <row r="110" spans="12:17">
      <c r="L110" t="str">
        <f>IF(Encargado!A110="","",Encargado!A110)</f>
        <v/>
      </c>
      <c r="M110">
        <f>IF(ISNUMBER(Encargado!B110),Encargado!B110-WEEKDAY(Encargado!B110,2)+1,0)</f>
        <v>0</v>
      </c>
      <c r="N110">
        <f>IF(AND(L110&lt;&gt;"",ISNUMBER(Encargado!B110)),1,0)</f>
        <v>0</v>
      </c>
      <c r="O110">
        <f>IF(OR(N110=0,P110=1),0,IF(ISBLANK(Encargado!H110),MAX(0,ROUND(N(Encargado!G110)-N(Encargado!N110),3),N(Encargado!J110)),N(Encargado!J110)))</f>
        <v>0</v>
      </c>
      <c r="P110">
        <f>IF(N110=0,0,IF(AND(OR(Encargado!AL110="Previsión",Encargado!AL110="Por confirmar",AND(Encargado!AL110="Adelanto en pausa",ISNUMBER(Encargado!G110),Encargado!AA110=""),Encargado!AL110="Preparar",Encargado!AL110="Completar",Encargado!AL110="Hecho",Encargado!AL110="Cubierto con stock",Encargado!AL110="Sin pedido"),OR(Encargado!AL110&lt;&gt;"Previsión",ISNUMBER(Encargado!G110))),0,1))</f>
        <v>0</v>
      </c>
      <c r="Q110">
        <f>IF(AND(N110=1,Encargado!P110&lt;&gt;""),1,0)</f>
        <v>0</v>
      </c>
    </row>
    <row r="111" spans="12:17">
      <c r="L111" t="str">
        <f>IF(Encargado!A111="","",Encargado!A111)</f>
        <v/>
      </c>
      <c r="M111">
        <f>IF(ISNUMBER(Encargado!B111),Encargado!B111-WEEKDAY(Encargado!B111,2)+1,0)</f>
        <v>0</v>
      </c>
      <c r="N111">
        <f>IF(AND(L111&lt;&gt;"",ISNUMBER(Encargado!B111)),1,0)</f>
        <v>0</v>
      </c>
      <c r="O111">
        <f>IF(OR(N111=0,P111=1),0,IF(ISBLANK(Encargado!H111),MAX(0,ROUND(N(Encargado!G111)-N(Encargado!N111),3),N(Encargado!J111)),N(Encargado!J111)))</f>
        <v>0</v>
      </c>
      <c r="P111">
        <f>IF(N111=0,0,IF(AND(OR(Encargado!AL111="Previsión",Encargado!AL111="Por confirmar",AND(Encargado!AL111="Adelanto en pausa",ISNUMBER(Encargado!G111),Encargado!AA111=""),Encargado!AL111="Preparar",Encargado!AL111="Completar",Encargado!AL111="Hecho",Encargado!AL111="Cubierto con stock",Encargado!AL111="Sin pedido"),OR(Encargado!AL111&lt;&gt;"Previsión",ISNUMBER(Encargado!G111))),0,1))</f>
        <v>0</v>
      </c>
      <c r="Q111">
        <f>IF(AND(N111=1,Encargado!P111&lt;&gt;""),1,0)</f>
        <v>0</v>
      </c>
    </row>
    <row r="112" spans="12:17">
      <c r="L112" t="str">
        <f>IF(Encargado!A112="","",Encargado!A112)</f>
        <v/>
      </c>
      <c r="M112">
        <f>IF(ISNUMBER(Encargado!B112),Encargado!B112-WEEKDAY(Encargado!B112,2)+1,0)</f>
        <v>0</v>
      </c>
      <c r="N112">
        <f>IF(AND(L112&lt;&gt;"",ISNUMBER(Encargado!B112)),1,0)</f>
        <v>0</v>
      </c>
      <c r="O112">
        <f>IF(OR(N112=0,P112=1),0,IF(ISBLANK(Encargado!H112),MAX(0,ROUND(N(Encargado!G112)-N(Encargado!N112),3),N(Encargado!J112)),N(Encargado!J112)))</f>
        <v>0</v>
      </c>
      <c r="P112">
        <f>IF(N112=0,0,IF(AND(OR(Encargado!AL112="Previsión",Encargado!AL112="Por confirmar",AND(Encargado!AL112="Adelanto en pausa",ISNUMBER(Encargado!G112),Encargado!AA112=""),Encargado!AL112="Preparar",Encargado!AL112="Completar",Encargado!AL112="Hecho",Encargado!AL112="Cubierto con stock",Encargado!AL112="Sin pedido"),OR(Encargado!AL112&lt;&gt;"Previsión",ISNUMBER(Encargado!G112))),0,1))</f>
        <v>0</v>
      </c>
      <c r="Q112">
        <f>IF(AND(N112=1,Encargado!P112&lt;&gt;""),1,0)</f>
        <v>0</v>
      </c>
    </row>
    <row r="113" spans="12:17">
      <c r="L113" t="str">
        <f>IF(Encargado!A113="","",Encargado!A113)</f>
        <v/>
      </c>
      <c r="M113">
        <f>IF(ISNUMBER(Encargado!B113),Encargado!B113-WEEKDAY(Encargado!B113,2)+1,0)</f>
        <v>0</v>
      </c>
      <c r="N113">
        <f>IF(AND(L113&lt;&gt;"",ISNUMBER(Encargado!B113)),1,0)</f>
        <v>0</v>
      </c>
      <c r="O113">
        <f>IF(OR(N113=0,P113=1),0,IF(ISBLANK(Encargado!H113),MAX(0,ROUND(N(Encargado!G113)-N(Encargado!N113),3),N(Encargado!J113)),N(Encargado!J113)))</f>
        <v>0</v>
      </c>
      <c r="P113">
        <f>IF(N113=0,0,IF(AND(OR(Encargado!AL113="Previsión",Encargado!AL113="Por confirmar",AND(Encargado!AL113="Adelanto en pausa",ISNUMBER(Encargado!G113),Encargado!AA113=""),Encargado!AL113="Preparar",Encargado!AL113="Completar",Encargado!AL113="Hecho",Encargado!AL113="Cubierto con stock",Encargado!AL113="Sin pedido"),OR(Encargado!AL113&lt;&gt;"Previsión",ISNUMBER(Encargado!G113))),0,1))</f>
        <v>0</v>
      </c>
      <c r="Q113">
        <f>IF(AND(N113=1,Encargado!P113&lt;&gt;""),1,0)</f>
        <v>0</v>
      </c>
    </row>
    <row r="114" spans="12:17">
      <c r="L114" t="str">
        <f>IF(Encargado!A114="","",Encargado!A114)</f>
        <v/>
      </c>
      <c r="M114">
        <f>IF(ISNUMBER(Encargado!B114),Encargado!B114-WEEKDAY(Encargado!B114,2)+1,0)</f>
        <v>0</v>
      </c>
      <c r="N114">
        <f>IF(AND(L114&lt;&gt;"",ISNUMBER(Encargado!B114)),1,0)</f>
        <v>0</v>
      </c>
      <c r="O114">
        <f>IF(OR(N114=0,P114=1),0,IF(ISBLANK(Encargado!H114),MAX(0,ROUND(N(Encargado!G114)-N(Encargado!N114),3),N(Encargado!J114)),N(Encargado!J114)))</f>
        <v>0</v>
      </c>
      <c r="P114">
        <f>IF(N114=0,0,IF(AND(OR(Encargado!AL114="Previsión",Encargado!AL114="Por confirmar",AND(Encargado!AL114="Adelanto en pausa",ISNUMBER(Encargado!G114),Encargado!AA114=""),Encargado!AL114="Preparar",Encargado!AL114="Completar",Encargado!AL114="Hecho",Encargado!AL114="Cubierto con stock",Encargado!AL114="Sin pedido"),OR(Encargado!AL114&lt;&gt;"Previsión",ISNUMBER(Encargado!G114))),0,1))</f>
        <v>0</v>
      </c>
      <c r="Q114">
        <f>IF(AND(N114=1,Encargado!P114&lt;&gt;""),1,0)</f>
        <v>0</v>
      </c>
    </row>
    <row r="115" spans="12:17">
      <c r="L115" t="str">
        <f>IF(Encargado!A115="","",Encargado!A115)</f>
        <v/>
      </c>
      <c r="M115">
        <f>IF(ISNUMBER(Encargado!B115),Encargado!B115-WEEKDAY(Encargado!B115,2)+1,0)</f>
        <v>0</v>
      </c>
      <c r="N115">
        <f>IF(AND(L115&lt;&gt;"",ISNUMBER(Encargado!B115)),1,0)</f>
        <v>0</v>
      </c>
      <c r="O115">
        <f>IF(OR(N115=0,P115=1),0,IF(ISBLANK(Encargado!H115),MAX(0,ROUND(N(Encargado!G115)-N(Encargado!N115),3),N(Encargado!J115)),N(Encargado!J115)))</f>
        <v>0</v>
      </c>
      <c r="P115">
        <f>IF(N115=0,0,IF(AND(OR(Encargado!AL115="Previsión",Encargado!AL115="Por confirmar",AND(Encargado!AL115="Adelanto en pausa",ISNUMBER(Encargado!G115),Encargado!AA115=""),Encargado!AL115="Preparar",Encargado!AL115="Completar",Encargado!AL115="Hecho",Encargado!AL115="Cubierto con stock",Encargado!AL115="Sin pedido"),OR(Encargado!AL115&lt;&gt;"Previsión",ISNUMBER(Encargado!G115))),0,1))</f>
        <v>0</v>
      </c>
      <c r="Q115">
        <f>IF(AND(N115=1,Encargado!P115&lt;&gt;""),1,0)</f>
        <v>0</v>
      </c>
    </row>
    <row r="116" spans="12:17">
      <c r="L116" t="str">
        <f>IF(Encargado!A116="","",Encargado!A116)</f>
        <v/>
      </c>
      <c r="M116">
        <f>IF(ISNUMBER(Encargado!B116),Encargado!B116-WEEKDAY(Encargado!B116,2)+1,0)</f>
        <v>0</v>
      </c>
      <c r="N116">
        <f>IF(AND(L116&lt;&gt;"",ISNUMBER(Encargado!B116)),1,0)</f>
        <v>0</v>
      </c>
      <c r="O116">
        <f>IF(OR(N116=0,P116=1),0,IF(ISBLANK(Encargado!H116),MAX(0,ROUND(N(Encargado!G116)-N(Encargado!N116),3),N(Encargado!J116)),N(Encargado!J116)))</f>
        <v>0</v>
      </c>
      <c r="P116">
        <f>IF(N116=0,0,IF(AND(OR(Encargado!AL116="Previsión",Encargado!AL116="Por confirmar",AND(Encargado!AL116="Adelanto en pausa",ISNUMBER(Encargado!G116),Encargado!AA116=""),Encargado!AL116="Preparar",Encargado!AL116="Completar",Encargado!AL116="Hecho",Encargado!AL116="Cubierto con stock",Encargado!AL116="Sin pedido"),OR(Encargado!AL116&lt;&gt;"Previsión",ISNUMBER(Encargado!G116))),0,1))</f>
        <v>0</v>
      </c>
      <c r="Q116">
        <f>IF(AND(N116=1,Encargado!P116&lt;&gt;""),1,0)</f>
        <v>0</v>
      </c>
    </row>
    <row r="117" spans="12:17">
      <c r="L117" t="str">
        <f>IF(Encargado!A117="","",Encargado!A117)</f>
        <v/>
      </c>
      <c r="M117">
        <f>IF(ISNUMBER(Encargado!B117),Encargado!B117-WEEKDAY(Encargado!B117,2)+1,0)</f>
        <v>0</v>
      </c>
      <c r="N117">
        <f>IF(AND(L117&lt;&gt;"",ISNUMBER(Encargado!B117)),1,0)</f>
        <v>0</v>
      </c>
      <c r="O117">
        <f>IF(OR(N117=0,P117=1),0,IF(ISBLANK(Encargado!H117),MAX(0,ROUND(N(Encargado!G117)-N(Encargado!N117),3),N(Encargado!J117)),N(Encargado!J117)))</f>
        <v>0</v>
      </c>
      <c r="P117">
        <f>IF(N117=0,0,IF(AND(OR(Encargado!AL117="Previsión",Encargado!AL117="Por confirmar",AND(Encargado!AL117="Adelanto en pausa",ISNUMBER(Encargado!G117),Encargado!AA117=""),Encargado!AL117="Preparar",Encargado!AL117="Completar",Encargado!AL117="Hecho",Encargado!AL117="Cubierto con stock",Encargado!AL117="Sin pedido"),OR(Encargado!AL117&lt;&gt;"Previsión",ISNUMBER(Encargado!G117))),0,1))</f>
        <v>0</v>
      </c>
      <c r="Q117">
        <f>IF(AND(N117=1,Encargado!P117&lt;&gt;""),1,0)</f>
        <v>0</v>
      </c>
    </row>
    <row r="118" spans="12:17">
      <c r="L118" t="str">
        <f>IF(Encargado!A118="","",Encargado!A118)</f>
        <v/>
      </c>
      <c r="M118">
        <f>IF(ISNUMBER(Encargado!B118),Encargado!B118-WEEKDAY(Encargado!B118,2)+1,0)</f>
        <v>0</v>
      </c>
      <c r="N118">
        <f>IF(AND(L118&lt;&gt;"",ISNUMBER(Encargado!B118)),1,0)</f>
        <v>0</v>
      </c>
      <c r="O118">
        <f>IF(OR(N118=0,P118=1),0,IF(ISBLANK(Encargado!H118),MAX(0,ROUND(N(Encargado!G118)-N(Encargado!N118),3),N(Encargado!J118)),N(Encargado!J118)))</f>
        <v>0</v>
      </c>
      <c r="P118">
        <f>IF(N118=0,0,IF(AND(OR(Encargado!AL118="Previsión",Encargado!AL118="Por confirmar",AND(Encargado!AL118="Adelanto en pausa",ISNUMBER(Encargado!G118),Encargado!AA118=""),Encargado!AL118="Preparar",Encargado!AL118="Completar",Encargado!AL118="Hecho",Encargado!AL118="Cubierto con stock",Encargado!AL118="Sin pedido"),OR(Encargado!AL118&lt;&gt;"Previsión",ISNUMBER(Encargado!G118))),0,1))</f>
        <v>0</v>
      </c>
      <c r="Q118">
        <f>IF(AND(N118=1,Encargado!P118&lt;&gt;""),1,0)</f>
        <v>0</v>
      </c>
    </row>
    <row r="119" spans="12:17">
      <c r="L119" t="str">
        <f>IF(Encargado!A119="","",Encargado!A119)</f>
        <v/>
      </c>
      <c r="M119">
        <f>IF(ISNUMBER(Encargado!B119),Encargado!B119-WEEKDAY(Encargado!B119,2)+1,0)</f>
        <v>0</v>
      </c>
      <c r="N119">
        <f>IF(AND(L119&lt;&gt;"",ISNUMBER(Encargado!B119)),1,0)</f>
        <v>0</v>
      </c>
      <c r="O119">
        <f>IF(OR(N119=0,P119=1),0,IF(ISBLANK(Encargado!H119),MAX(0,ROUND(N(Encargado!G119)-N(Encargado!N119),3),N(Encargado!J119)),N(Encargado!J119)))</f>
        <v>0</v>
      </c>
      <c r="P119">
        <f>IF(N119=0,0,IF(AND(OR(Encargado!AL119="Previsión",Encargado!AL119="Por confirmar",AND(Encargado!AL119="Adelanto en pausa",ISNUMBER(Encargado!G119),Encargado!AA119=""),Encargado!AL119="Preparar",Encargado!AL119="Completar",Encargado!AL119="Hecho",Encargado!AL119="Cubierto con stock",Encargado!AL119="Sin pedido"),OR(Encargado!AL119&lt;&gt;"Previsión",ISNUMBER(Encargado!G119))),0,1))</f>
        <v>0</v>
      </c>
      <c r="Q119">
        <f>IF(AND(N119=1,Encargado!P119&lt;&gt;""),1,0)</f>
        <v>0</v>
      </c>
    </row>
    <row r="120" spans="12:17">
      <c r="L120" t="str">
        <f>IF(Encargado!A120="","",Encargado!A120)</f>
        <v/>
      </c>
      <c r="M120">
        <f>IF(ISNUMBER(Encargado!B120),Encargado!B120-WEEKDAY(Encargado!B120,2)+1,0)</f>
        <v>0</v>
      </c>
      <c r="N120">
        <f>IF(AND(L120&lt;&gt;"",ISNUMBER(Encargado!B120)),1,0)</f>
        <v>0</v>
      </c>
      <c r="O120">
        <f>IF(OR(N120=0,P120=1),0,IF(ISBLANK(Encargado!H120),MAX(0,ROUND(N(Encargado!G120)-N(Encargado!N120),3),N(Encargado!J120)),N(Encargado!J120)))</f>
        <v>0</v>
      </c>
      <c r="P120">
        <f>IF(N120=0,0,IF(AND(OR(Encargado!AL120="Previsión",Encargado!AL120="Por confirmar",AND(Encargado!AL120="Adelanto en pausa",ISNUMBER(Encargado!G120),Encargado!AA120=""),Encargado!AL120="Preparar",Encargado!AL120="Completar",Encargado!AL120="Hecho",Encargado!AL120="Cubierto con stock",Encargado!AL120="Sin pedido"),OR(Encargado!AL120&lt;&gt;"Previsión",ISNUMBER(Encargado!G120))),0,1))</f>
        <v>0</v>
      </c>
      <c r="Q120">
        <f>IF(AND(N120=1,Encargado!P120&lt;&gt;""),1,0)</f>
        <v>0</v>
      </c>
    </row>
    <row r="121" spans="12:17">
      <c r="L121" t="str">
        <f>IF(Encargado!A121="","",Encargado!A121)</f>
        <v/>
      </c>
      <c r="M121">
        <f>IF(ISNUMBER(Encargado!B121),Encargado!B121-WEEKDAY(Encargado!B121,2)+1,0)</f>
        <v>0</v>
      </c>
      <c r="N121">
        <f>IF(AND(L121&lt;&gt;"",ISNUMBER(Encargado!B121)),1,0)</f>
        <v>0</v>
      </c>
      <c r="O121">
        <f>IF(OR(N121=0,P121=1),0,IF(ISBLANK(Encargado!H121),MAX(0,ROUND(N(Encargado!G121)-N(Encargado!N121),3),N(Encargado!J121)),N(Encargado!J121)))</f>
        <v>0</v>
      </c>
      <c r="P121">
        <f>IF(N121=0,0,IF(AND(OR(Encargado!AL121="Previsión",Encargado!AL121="Por confirmar",AND(Encargado!AL121="Adelanto en pausa",ISNUMBER(Encargado!G121),Encargado!AA121=""),Encargado!AL121="Preparar",Encargado!AL121="Completar",Encargado!AL121="Hecho",Encargado!AL121="Cubierto con stock",Encargado!AL121="Sin pedido"),OR(Encargado!AL121&lt;&gt;"Previsión",ISNUMBER(Encargado!G121))),0,1))</f>
        <v>0</v>
      </c>
      <c r="Q121">
        <f>IF(AND(N121=1,Encargado!P121&lt;&gt;""),1,0)</f>
        <v>0</v>
      </c>
    </row>
    <row r="122" spans="12:17">
      <c r="L122" t="str">
        <f>IF(Encargado!A122="","",Encargado!A122)</f>
        <v/>
      </c>
      <c r="M122">
        <f>IF(ISNUMBER(Encargado!B122),Encargado!B122-WEEKDAY(Encargado!B122,2)+1,0)</f>
        <v>0</v>
      </c>
      <c r="N122">
        <f>IF(AND(L122&lt;&gt;"",ISNUMBER(Encargado!B122)),1,0)</f>
        <v>0</v>
      </c>
      <c r="O122">
        <f>IF(OR(N122=0,P122=1),0,IF(ISBLANK(Encargado!H122),MAX(0,ROUND(N(Encargado!G122)-N(Encargado!N122),3),N(Encargado!J122)),N(Encargado!J122)))</f>
        <v>0</v>
      </c>
      <c r="P122">
        <f>IF(N122=0,0,IF(AND(OR(Encargado!AL122="Previsión",Encargado!AL122="Por confirmar",AND(Encargado!AL122="Adelanto en pausa",ISNUMBER(Encargado!G122),Encargado!AA122=""),Encargado!AL122="Preparar",Encargado!AL122="Completar",Encargado!AL122="Hecho",Encargado!AL122="Cubierto con stock",Encargado!AL122="Sin pedido"),OR(Encargado!AL122&lt;&gt;"Previsión",ISNUMBER(Encargado!G122))),0,1))</f>
        <v>0</v>
      </c>
      <c r="Q122">
        <f>IF(AND(N122=1,Encargado!P122&lt;&gt;""),1,0)</f>
        <v>0</v>
      </c>
    </row>
    <row r="123" spans="12:17">
      <c r="L123" t="str">
        <f>IF(Encargado!A123="","",Encargado!A123)</f>
        <v/>
      </c>
      <c r="M123">
        <f>IF(ISNUMBER(Encargado!B123),Encargado!B123-WEEKDAY(Encargado!B123,2)+1,0)</f>
        <v>0</v>
      </c>
      <c r="N123">
        <f>IF(AND(L123&lt;&gt;"",ISNUMBER(Encargado!B123)),1,0)</f>
        <v>0</v>
      </c>
      <c r="O123">
        <f>IF(OR(N123=0,P123=1),0,IF(ISBLANK(Encargado!H123),MAX(0,ROUND(N(Encargado!G123)-N(Encargado!N123),3),N(Encargado!J123)),N(Encargado!J123)))</f>
        <v>0</v>
      </c>
      <c r="P123">
        <f>IF(N123=0,0,IF(AND(OR(Encargado!AL123="Previsión",Encargado!AL123="Por confirmar",AND(Encargado!AL123="Adelanto en pausa",ISNUMBER(Encargado!G123),Encargado!AA123=""),Encargado!AL123="Preparar",Encargado!AL123="Completar",Encargado!AL123="Hecho",Encargado!AL123="Cubierto con stock",Encargado!AL123="Sin pedido"),OR(Encargado!AL123&lt;&gt;"Previsión",ISNUMBER(Encargado!G123))),0,1))</f>
        <v>0</v>
      </c>
      <c r="Q123">
        <f>IF(AND(N123=1,Encargado!P123&lt;&gt;""),1,0)</f>
        <v>0</v>
      </c>
    </row>
    <row r="124" spans="12:17">
      <c r="L124" t="str">
        <f>IF(Encargado!A124="","",Encargado!A124)</f>
        <v/>
      </c>
      <c r="M124">
        <f>IF(ISNUMBER(Encargado!B124),Encargado!B124-WEEKDAY(Encargado!B124,2)+1,0)</f>
        <v>0</v>
      </c>
      <c r="N124">
        <f>IF(AND(L124&lt;&gt;"",ISNUMBER(Encargado!B124)),1,0)</f>
        <v>0</v>
      </c>
      <c r="O124">
        <f>IF(OR(N124=0,P124=1),0,IF(ISBLANK(Encargado!H124),MAX(0,ROUND(N(Encargado!G124)-N(Encargado!N124),3),N(Encargado!J124)),N(Encargado!J124)))</f>
        <v>0</v>
      </c>
      <c r="P124">
        <f>IF(N124=0,0,IF(AND(OR(Encargado!AL124="Previsión",Encargado!AL124="Por confirmar",AND(Encargado!AL124="Adelanto en pausa",ISNUMBER(Encargado!G124),Encargado!AA124=""),Encargado!AL124="Preparar",Encargado!AL124="Completar",Encargado!AL124="Hecho",Encargado!AL124="Cubierto con stock",Encargado!AL124="Sin pedido"),OR(Encargado!AL124&lt;&gt;"Previsión",ISNUMBER(Encargado!G124))),0,1))</f>
        <v>0</v>
      </c>
      <c r="Q124">
        <f>IF(AND(N124=1,Encargado!P124&lt;&gt;""),1,0)</f>
        <v>0</v>
      </c>
    </row>
    <row r="125" spans="12:17">
      <c r="L125" t="str">
        <f>IF(Encargado!A125="","",Encargado!A125)</f>
        <v/>
      </c>
      <c r="M125">
        <f>IF(ISNUMBER(Encargado!B125),Encargado!B125-WEEKDAY(Encargado!B125,2)+1,0)</f>
        <v>0</v>
      </c>
      <c r="N125">
        <f>IF(AND(L125&lt;&gt;"",ISNUMBER(Encargado!B125)),1,0)</f>
        <v>0</v>
      </c>
      <c r="O125">
        <f>IF(OR(N125=0,P125=1),0,IF(ISBLANK(Encargado!H125),MAX(0,ROUND(N(Encargado!G125)-N(Encargado!N125),3),N(Encargado!J125)),N(Encargado!J125)))</f>
        <v>0</v>
      </c>
      <c r="P125">
        <f>IF(N125=0,0,IF(AND(OR(Encargado!AL125="Previsión",Encargado!AL125="Por confirmar",AND(Encargado!AL125="Adelanto en pausa",ISNUMBER(Encargado!G125),Encargado!AA125=""),Encargado!AL125="Preparar",Encargado!AL125="Completar",Encargado!AL125="Hecho",Encargado!AL125="Cubierto con stock",Encargado!AL125="Sin pedido"),OR(Encargado!AL125&lt;&gt;"Previsión",ISNUMBER(Encargado!G125))),0,1))</f>
        <v>0</v>
      </c>
      <c r="Q125">
        <f>IF(AND(N125=1,Encargado!P125&lt;&gt;""),1,0)</f>
        <v>0</v>
      </c>
    </row>
    <row r="126" spans="12:17">
      <c r="L126" t="str">
        <f>IF(Encargado!A126="","",Encargado!A126)</f>
        <v/>
      </c>
      <c r="M126">
        <f>IF(ISNUMBER(Encargado!B126),Encargado!B126-WEEKDAY(Encargado!B126,2)+1,0)</f>
        <v>0</v>
      </c>
      <c r="N126">
        <f>IF(AND(L126&lt;&gt;"",ISNUMBER(Encargado!B126)),1,0)</f>
        <v>0</v>
      </c>
      <c r="O126">
        <f>IF(OR(N126=0,P126=1),0,IF(ISBLANK(Encargado!H126),MAX(0,ROUND(N(Encargado!G126)-N(Encargado!N126),3),N(Encargado!J126)),N(Encargado!J126)))</f>
        <v>0</v>
      </c>
      <c r="P126">
        <f>IF(N126=0,0,IF(AND(OR(Encargado!AL126="Previsión",Encargado!AL126="Por confirmar",AND(Encargado!AL126="Adelanto en pausa",ISNUMBER(Encargado!G126),Encargado!AA126=""),Encargado!AL126="Preparar",Encargado!AL126="Completar",Encargado!AL126="Hecho",Encargado!AL126="Cubierto con stock",Encargado!AL126="Sin pedido"),OR(Encargado!AL126&lt;&gt;"Previsión",ISNUMBER(Encargado!G126))),0,1))</f>
        <v>0</v>
      </c>
      <c r="Q126">
        <f>IF(AND(N126=1,Encargado!P126&lt;&gt;""),1,0)</f>
        <v>0</v>
      </c>
    </row>
    <row r="127" spans="12:17">
      <c r="L127" t="str">
        <f>IF(Encargado!A127="","",Encargado!A127)</f>
        <v/>
      </c>
      <c r="M127">
        <f>IF(ISNUMBER(Encargado!B127),Encargado!B127-WEEKDAY(Encargado!B127,2)+1,0)</f>
        <v>0</v>
      </c>
      <c r="N127">
        <f>IF(AND(L127&lt;&gt;"",ISNUMBER(Encargado!B127)),1,0)</f>
        <v>0</v>
      </c>
      <c r="O127">
        <f>IF(OR(N127=0,P127=1),0,IF(ISBLANK(Encargado!H127),MAX(0,ROUND(N(Encargado!G127)-N(Encargado!N127),3),N(Encargado!J127)),N(Encargado!J127)))</f>
        <v>0</v>
      </c>
      <c r="P127">
        <f>IF(N127=0,0,IF(AND(OR(Encargado!AL127="Previsión",Encargado!AL127="Por confirmar",AND(Encargado!AL127="Adelanto en pausa",ISNUMBER(Encargado!G127),Encargado!AA127=""),Encargado!AL127="Preparar",Encargado!AL127="Completar",Encargado!AL127="Hecho",Encargado!AL127="Cubierto con stock",Encargado!AL127="Sin pedido"),OR(Encargado!AL127&lt;&gt;"Previsión",ISNUMBER(Encargado!G127))),0,1))</f>
        <v>0</v>
      </c>
      <c r="Q127">
        <f>IF(AND(N127=1,Encargado!P127&lt;&gt;""),1,0)</f>
        <v>0</v>
      </c>
    </row>
    <row r="128" spans="12:17">
      <c r="L128" t="str">
        <f>IF(Encargado!A128="","",Encargado!A128)</f>
        <v/>
      </c>
      <c r="M128">
        <f>IF(ISNUMBER(Encargado!B128),Encargado!B128-WEEKDAY(Encargado!B128,2)+1,0)</f>
        <v>0</v>
      </c>
      <c r="N128">
        <f>IF(AND(L128&lt;&gt;"",ISNUMBER(Encargado!B128)),1,0)</f>
        <v>0</v>
      </c>
      <c r="O128">
        <f>IF(OR(N128=0,P128=1),0,IF(ISBLANK(Encargado!H128),MAX(0,ROUND(N(Encargado!G128)-N(Encargado!N128),3),N(Encargado!J128)),N(Encargado!J128)))</f>
        <v>0</v>
      </c>
      <c r="P128">
        <f>IF(N128=0,0,IF(AND(OR(Encargado!AL128="Previsión",Encargado!AL128="Por confirmar",AND(Encargado!AL128="Adelanto en pausa",ISNUMBER(Encargado!G128),Encargado!AA128=""),Encargado!AL128="Preparar",Encargado!AL128="Completar",Encargado!AL128="Hecho",Encargado!AL128="Cubierto con stock",Encargado!AL128="Sin pedido"),OR(Encargado!AL128&lt;&gt;"Previsión",ISNUMBER(Encargado!G128))),0,1))</f>
        <v>0</v>
      </c>
      <c r="Q128">
        <f>IF(AND(N128=1,Encargado!P128&lt;&gt;""),1,0)</f>
        <v>0</v>
      </c>
    </row>
  </sheetData>
  <mergeCells count="12">
    <mergeCell ref="A1:J1"/>
    <mergeCell ref="A2:J2"/>
    <mergeCell ref="A3:J3"/>
    <mergeCell ref="C5:H5"/>
    <mergeCell ref="I5:J5"/>
    <mergeCell ref="A41:J41"/>
    <mergeCell ref="A4:J4"/>
    <mergeCell ref="C23:D23"/>
    <mergeCell ref="E23:J23"/>
    <mergeCell ref="A20:B20"/>
    <mergeCell ref="A38:B38"/>
    <mergeCell ref="A40:J40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11"/>
  <sheetViews>
    <sheetView showGridLines="0" workbookViewId="0"/>
  </sheetViews>
  <sheetFormatPr baseColWidth="10" defaultColWidth="8.83203125" defaultRowHeight="15"/>
  <cols>
    <col min="1" max="1" width="28" customWidth="1"/>
    <col min="2" max="3" width="11" customWidth="1"/>
    <col min="4" max="4" width="12" customWidth="1"/>
    <col min="5" max="5" width="15" customWidth="1"/>
    <col min="6" max="6" width="32" customWidth="1"/>
    <col min="7" max="7" width="36" customWidth="1"/>
    <col min="8" max="8" width="55" customWidth="1"/>
    <col min="9" max="9" width="49" customWidth="1"/>
    <col min="10" max="10" width="20" customWidth="1"/>
  </cols>
  <sheetData>
    <row r="1" spans="1:10" ht="33" customHeight="1">
      <c r="A1" s="67" t="s">
        <v>136</v>
      </c>
      <c r="B1" s="60"/>
      <c r="C1" s="60"/>
      <c r="D1" s="60"/>
      <c r="E1" s="60"/>
      <c r="F1" s="60"/>
      <c r="G1" s="60"/>
      <c r="H1" s="60"/>
      <c r="I1" s="60"/>
    </row>
    <row r="3" spans="1:10">
      <c r="A3" t="s">
        <v>137</v>
      </c>
      <c r="B3">
        <v>1</v>
      </c>
    </row>
    <row r="4" spans="1:10">
      <c r="A4" t="s">
        <v>138</v>
      </c>
      <c r="B4">
        <v>2</v>
      </c>
    </row>
    <row r="5" spans="1:10">
      <c r="A5" t="s">
        <v>139</v>
      </c>
      <c r="B5" s="2">
        <v>46377</v>
      </c>
    </row>
    <row r="6" spans="1:10">
      <c r="A6" t="s">
        <v>140</v>
      </c>
      <c r="B6" s="2">
        <v>46404</v>
      </c>
    </row>
    <row r="7" spans="1:10" ht="30" customHeight="1">
      <c r="A7" s="60" t="s">
        <v>141</v>
      </c>
      <c r="B7" s="60"/>
      <c r="C7" s="60"/>
      <c r="D7" s="60"/>
      <c r="E7" s="60"/>
      <c r="F7" s="60"/>
      <c r="G7" s="60"/>
      <c r="H7" s="60"/>
      <c r="I7" s="60"/>
    </row>
    <row r="8" spans="1:10" ht="30" customHeight="1">
      <c r="A8" s="60" t="s">
        <v>142</v>
      </c>
      <c r="B8" s="60"/>
      <c r="C8" s="60"/>
      <c r="D8" s="60"/>
      <c r="E8" s="60"/>
      <c r="F8" s="60"/>
      <c r="G8" s="60"/>
      <c r="H8" s="60"/>
      <c r="I8" s="60"/>
    </row>
    <row r="10" spans="1:10" ht="36" customHeight="1">
      <c r="A10" s="1" t="s">
        <v>18</v>
      </c>
      <c r="B10" s="1" t="s">
        <v>22</v>
      </c>
      <c r="C10" s="1" t="s">
        <v>143</v>
      </c>
      <c r="D10" s="1" t="s">
        <v>144</v>
      </c>
      <c r="E10" s="1" t="s">
        <v>145</v>
      </c>
      <c r="F10" s="1" t="s">
        <v>146</v>
      </c>
      <c r="G10" s="1" t="s">
        <v>147</v>
      </c>
      <c r="H10" s="1" t="s">
        <v>148</v>
      </c>
      <c r="I10" s="1" t="s">
        <v>149</v>
      </c>
      <c r="J10" t="s">
        <v>150</v>
      </c>
    </row>
    <row r="11" spans="1:10" ht="49" customHeight="1">
      <c r="A11" s="3" t="s">
        <v>34</v>
      </c>
      <c r="B11" s="3" t="s">
        <v>130</v>
      </c>
      <c r="C11" s="3">
        <v>90</v>
      </c>
      <c r="D11" s="3" t="s">
        <v>151</v>
      </c>
      <c r="E11" s="3">
        <v>0</v>
      </c>
      <c r="F11" s="3" t="s">
        <v>152</v>
      </c>
      <c r="G11" s="3" t="s">
        <v>153</v>
      </c>
      <c r="H11" s="3" t="s">
        <v>154</v>
      </c>
      <c r="I11" s="3" t="s">
        <v>155</v>
      </c>
    </row>
    <row r="12" spans="1:10" ht="49" customHeight="1">
      <c r="A12" s="3" t="s">
        <v>37</v>
      </c>
      <c r="B12" s="3" t="s">
        <v>130</v>
      </c>
      <c r="C12" s="3">
        <v>90</v>
      </c>
      <c r="D12" s="3" t="s">
        <v>151</v>
      </c>
      <c r="E12" s="3">
        <v>0</v>
      </c>
      <c r="F12" s="3" t="s">
        <v>156</v>
      </c>
      <c r="G12" s="3" t="s">
        <v>153</v>
      </c>
      <c r="H12" s="3" t="s">
        <v>157</v>
      </c>
      <c r="I12" s="3" t="s">
        <v>155</v>
      </c>
    </row>
    <row r="13" spans="1:10" ht="49" customHeight="1">
      <c r="A13" s="3" t="s">
        <v>55</v>
      </c>
      <c r="B13" s="3" t="s">
        <v>130</v>
      </c>
      <c r="C13" s="3">
        <v>60</v>
      </c>
      <c r="D13" s="3" t="s">
        <v>151</v>
      </c>
      <c r="E13" s="3">
        <v>0</v>
      </c>
      <c r="F13" s="3" t="s">
        <v>158</v>
      </c>
      <c r="G13" s="3" t="s">
        <v>159</v>
      </c>
      <c r="H13" s="3" t="s">
        <v>160</v>
      </c>
      <c r="I13" s="3" t="s">
        <v>161</v>
      </c>
    </row>
    <row r="14" spans="1:10" ht="49" customHeight="1">
      <c r="A14" s="3" t="s">
        <v>42</v>
      </c>
      <c r="B14" s="3" t="s">
        <v>130</v>
      </c>
      <c r="C14" s="3">
        <v>60</v>
      </c>
      <c r="D14" s="3" t="s">
        <v>151</v>
      </c>
      <c r="E14" s="3">
        <v>0</v>
      </c>
      <c r="F14" s="3" t="s">
        <v>158</v>
      </c>
      <c r="G14" s="3" t="s">
        <v>159</v>
      </c>
      <c r="H14" s="3" t="s">
        <v>162</v>
      </c>
      <c r="I14" s="3" t="s">
        <v>161</v>
      </c>
    </row>
    <row r="15" spans="1:10" ht="49" customHeight="1">
      <c r="A15" s="3" t="s">
        <v>46</v>
      </c>
      <c r="B15" s="3" t="s">
        <v>130</v>
      </c>
      <c r="C15" s="3">
        <v>60</v>
      </c>
      <c r="D15" s="3" t="s">
        <v>151</v>
      </c>
      <c r="E15" s="3">
        <v>0</v>
      </c>
      <c r="F15" s="3" t="s">
        <v>158</v>
      </c>
      <c r="G15" s="3" t="s">
        <v>159</v>
      </c>
      <c r="H15" s="3" t="s">
        <v>163</v>
      </c>
      <c r="I15" s="3" t="s">
        <v>161</v>
      </c>
    </row>
    <row r="16" spans="1:10" ht="49" customHeight="1">
      <c r="A16" s="3" t="s">
        <v>53</v>
      </c>
      <c r="B16" s="3" t="s">
        <v>130</v>
      </c>
      <c r="C16" s="3">
        <v>30</v>
      </c>
      <c r="D16" s="3" t="s">
        <v>151</v>
      </c>
      <c r="E16" s="3">
        <v>0</v>
      </c>
      <c r="F16" s="3" t="s">
        <v>164</v>
      </c>
      <c r="G16" s="3" t="s">
        <v>165</v>
      </c>
      <c r="H16" s="3" t="s">
        <v>166</v>
      </c>
      <c r="I16" s="3" t="s">
        <v>167</v>
      </c>
    </row>
    <row r="17" spans="1:10" ht="49" customHeight="1">
      <c r="A17" s="3" t="s">
        <v>65</v>
      </c>
      <c r="B17" s="3" t="s">
        <v>130</v>
      </c>
      <c r="C17" s="3">
        <v>30</v>
      </c>
      <c r="D17" s="3" t="s">
        <v>151</v>
      </c>
      <c r="E17" s="3">
        <v>1</v>
      </c>
      <c r="F17" s="3" t="s">
        <v>168</v>
      </c>
      <c r="G17" s="3" t="s">
        <v>169</v>
      </c>
      <c r="H17" s="3" t="s">
        <v>170</v>
      </c>
      <c r="I17" s="3" t="s">
        <v>171</v>
      </c>
    </row>
    <row r="18" spans="1:10" ht="49" customHeight="1">
      <c r="A18" s="3" t="s">
        <v>40</v>
      </c>
      <c r="B18" s="3" t="s">
        <v>131</v>
      </c>
      <c r="C18" s="3">
        <v>1</v>
      </c>
      <c r="D18" s="3" t="s">
        <v>172</v>
      </c>
      <c r="E18" s="3">
        <v>0</v>
      </c>
      <c r="F18" s="3" t="s">
        <v>173</v>
      </c>
      <c r="G18" s="3" t="s">
        <v>174</v>
      </c>
      <c r="H18" s="3" t="s">
        <v>175</v>
      </c>
      <c r="I18" s="3" t="s">
        <v>176</v>
      </c>
      <c r="J18">
        <v>5</v>
      </c>
    </row>
    <row r="19" spans="1:10" ht="49" customHeight="1">
      <c r="A19" s="3" t="s">
        <v>49</v>
      </c>
      <c r="B19" s="3" t="s">
        <v>131</v>
      </c>
      <c r="C19" s="3">
        <v>1</v>
      </c>
      <c r="D19" s="3" t="s">
        <v>172</v>
      </c>
      <c r="E19" s="3">
        <v>0</v>
      </c>
      <c r="F19" s="3" t="s">
        <v>177</v>
      </c>
      <c r="G19" s="3" t="s">
        <v>178</v>
      </c>
      <c r="H19" s="3" t="s">
        <v>179</v>
      </c>
      <c r="I19" s="3" t="s">
        <v>180</v>
      </c>
    </row>
    <row r="20" spans="1:10" ht="49" customHeight="1">
      <c r="A20" s="3" t="s">
        <v>51</v>
      </c>
      <c r="B20" s="3" t="s">
        <v>131</v>
      </c>
      <c r="C20" s="3">
        <v>1</v>
      </c>
      <c r="D20" s="3" t="s">
        <v>172</v>
      </c>
      <c r="E20" s="3">
        <v>0</v>
      </c>
      <c r="F20" s="3" t="s">
        <v>181</v>
      </c>
      <c r="G20" s="3" t="s">
        <v>178</v>
      </c>
      <c r="H20" s="3" t="s">
        <v>182</v>
      </c>
      <c r="I20" s="3" t="s">
        <v>183</v>
      </c>
    </row>
    <row r="21" spans="1:10" ht="49" customHeight="1">
      <c r="A21" s="3" t="s">
        <v>70</v>
      </c>
      <c r="B21" s="3" t="s">
        <v>131</v>
      </c>
      <c r="C21" s="3">
        <v>30</v>
      </c>
      <c r="D21" s="3" t="s">
        <v>151</v>
      </c>
      <c r="E21" s="3">
        <v>0</v>
      </c>
      <c r="F21" s="3" t="s">
        <v>184</v>
      </c>
      <c r="G21" s="3" t="s">
        <v>185</v>
      </c>
      <c r="H21" s="3" t="s">
        <v>186</v>
      </c>
      <c r="I21" s="3" t="s">
        <v>187</v>
      </c>
    </row>
    <row r="22" spans="1:10" ht="49" customHeight="1">
      <c r="A22" s="3" t="s">
        <v>59</v>
      </c>
      <c r="B22" s="3" t="s">
        <v>130</v>
      </c>
      <c r="C22" s="3">
        <v>10</v>
      </c>
      <c r="D22" s="3" t="s">
        <v>151</v>
      </c>
      <c r="E22" s="3">
        <v>0</v>
      </c>
      <c r="F22" s="3" t="s">
        <v>181</v>
      </c>
      <c r="G22" s="3" t="s">
        <v>178</v>
      </c>
      <c r="H22" s="3" t="s">
        <v>188</v>
      </c>
      <c r="I22" s="3" t="s">
        <v>183</v>
      </c>
      <c r="J22">
        <v>0.5</v>
      </c>
    </row>
    <row r="25" spans="1:10">
      <c r="A25" t="s">
        <v>189</v>
      </c>
      <c r="B25" s="2">
        <v>46381</v>
      </c>
      <c r="C25" s="2">
        <v>46380</v>
      </c>
      <c r="D25" s="2">
        <v>46387</v>
      </c>
      <c r="E25" s="2">
        <v>46388</v>
      </c>
    </row>
    <row r="26" spans="1:10">
      <c r="A26" t="s">
        <v>190</v>
      </c>
      <c r="B26" s="2">
        <v>46356</v>
      </c>
      <c r="C26" t="s">
        <v>191</v>
      </c>
      <c r="D26">
        <v>2</v>
      </c>
    </row>
    <row r="27" spans="1:10" ht="23" customHeight="1">
      <c r="A27" s="60" t="inlineStr">
        <is>
          <t>Fuente: pedidos de Punta del verano anterior. Una fila por tanda y destino. Las fechas son propuestas. Los 10 kg de «Jengibre» de la primera quincena corresponden a Gari terminado.</t>
        </is>
      </c>
      <c r="B27" s="60"/>
      <c r="C27" s="60"/>
      <c r="D27" s="60"/>
      <c r="E27" s="60"/>
      <c r="F27" s="60"/>
      <c r="G27" s="60"/>
      <c r="H27" s="60"/>
      <c r="I27" s="60"/>
    </row>
    <row r="28" spans="1:10" ht="23" customHeight="1">
      <c r="A28" s="60" t="s">
        <v>192</v>
      </c>
      <c r="B28" s="60"/>
      <c r="C28" s="60"/>
      <c r="D28" s="60"/>
      <c r="E28" s="60"/>
      <c r="F28" s="60"/>
      <c r="G28" s="60"/>
      <c r="H28" s="60"/>
      <c r="I28" s="60"/>
    </row>
    <row r="30" spans="1:10" ht="36" customHeight="1">
      <c r="A30" s="1" t="s">
        <v>193</v>
      </c>
      <c r="B30" s="1" t="s">
        <v>18</v>
      </c>
      <c r="C30" s="1" t="s">
        <v>23</v>
      </c>
      <c r="D30" s="1" t="s">
        <v>22</v>
      </c>
      <c r="E30" s="1" t="s">
        <v>20</v>
      </c>
      <c r="F30" s="1" t="s">
        <v>21</v>
      </c>
      <c r="G30" s="1" t="s">
        <v>19</v>
      </c>
      <c r="H30" s="1" t="s">
        <v>194</v>
      </c>
      <c r="I30" s="1" t="s">
        <v>195</v>
      </c>
      <c r="J30" t="s">
        <v>196</v>
      </c>
    </row>
    <row r="31" spans="1:10">
      <c r="A31" t="s">
        <v>35</v>
      </c>
      <c r="B31" t="s">
        <v>34</v>
      </c>
      <c r="C31">
        <v>5</v>
      </c>
      <c r="D31" t="s">
        <v>130</v>
      </c>
      <c r="E31" s="2">
        <v>46357</v>
      </c>
      <c r="F31" s="2">
        <v>46371</v>
      </c>
      <c r="G31" s="2">
        <v>46335</v>
      </c>
      <c r="H31" s="2">
        <v>46356</v>
      </c>
      <c r="I31">
        <v>0</v>
      </c>
      <c r="J31" t="s">
        <v>197</v>
      </c>
    </row>
    <row r="32" spans="1:10">
      <c r="A32" t="s">
        <v>36</v>
      </c>
      <c r="B32" t="s">
        <v>34</v>
      </c>
      <c r="C32">
        <v>13</v>
      </c>
      <c r="D32" t="s">
        <v>130</v>
      </c>
      <c r="E32" s="2">
        <v>46372</v>
      </c>
      <c r="F32" s="2">
        <v>46387</v>
      </c>
      <c r="G32" s="2">
        <v>46335</v>
      </c>
      <c r="H32" s="2">
        <v>46371</v>
      </c>
      <c r="I32">
        <v>1</v>
      </c>
      <c r="J32" t="s">
        <v>198</v>
      </c>
    </row>
    <row r="33" spans="1:10">
      <c r="A33" t="s">
        <v>38</v>
      </c>
      <c r="B33" t="s">
        <v>37</v>
      </c>
      <c r="C33">
        <v>5</v>
      </c>
      <c r="D33" t="s">
        <v>130</v>
      </c>
      <c r="E33" s="2">
        <v>46357</v>
      </c>
      <c r="F33" s="2">
        <v>46371</v>
      </c>
      <c r="G33" s="2">
        <v>46336</v>
      </c>
      <c r="H33" s="2">
        <v>46356</v>
      </c>
      <c r="I33">
        <v>0</v>
      </c>
      <c r="J33" t="s">
        <v>197</v>
      </c>
    </row>
    <row r="34" spans="1:10">
      <c r="A34" t="s">
        <v>39</v>
      </c>
      <c r="B34" t="s">
        <v>37</v>
      </c>
      <c r="C34">
        <v>13</v>
      </c>
      <c r="D34" t="s">
        <v>130</v>
      </c>
      <c r="E34" s="2">
        <v>46372</v>
      </c>
      <c r="F34" s="2">
        <v>46387</v>
      </c>
      <c r="G34" s="2">
        <v>46336</v>
      </c>
      <c r="H34" s="2">
        <v>46371</v>
      </c>
      <c r="I34">
        <v>1</v>
      </c>
      <c r="J34" t="s">
        <v>198</v>
      </c>
    </row>
    <row r="35" spans="1:10">
      <c r="A35" t="s">
        <v>41</v>
      </c>
      <c r="B35" t="s">
        <v>40</v>
      </c>
      <c r="C35">
        <v>20</v>
      </c>
      <c r="D35" t="s">
        <v>131</v>
      </c>
      <c r="E35" s="2">
        <v>46357</v>
      </c>
      <c r="F35" s="2">
        <v>46371</v>
      </c>
      <c r="G35" s="2">
        <v>46343</v>
      </c>
      <c r="H35" s="2">
        <v>46356</v>
      </c>
      <c r="I35">
        <v>0</v>
      </c>
      <c r="J35" t="s">
        <v>197</v>
      </c>
    </row>
    <row r="36" spans="1:10">
      <c r="A36" t="s">
        <v>43</v>
      </c>
      <c r="B36" t="s">
        <v>42</v>
      </c>
      <c r="C36">
        <v>3</v>
      </c>
      <c r="D36" t="s">
        <v>130</v>
      </c>
      <c r="E36" s="2">
        <v>46357</v>
      </c>
      <c r="F36" s="2">
        <v>46371</v>
      </c>
      <c r="G36" s="2">
        <v>46344</v>
      </c>
      <c r="H36" s="2">
        <v>46356</v>
      </c>
      <c r="I36">
        <v>0</v>
      </c>
      <c r="J36" t="s">
        <v>197</v>
      </c>
    </row>
    <row r="37" spans="1:10">
      <c r="A37" t="s">
        <v>44</v>
      </c>
      <c r="B37" t="s">
        <v>42</v>
      </c>
      <c r="C37">
        <v>4</v>
      </c>
      <c r="D37" t="s">
        <v>130</v>
      </c>
      <c r="E37" s="2">
        <v>46372</v>
      </c>
      <c r="F37" s="2">
        <v>46387</v>
      </c>
      <c r="G37" s="2">
        <v>46344</v>
      </c>
      <c r="H37" s="2">
        <v>46371</v>
      </c>
      <c r="I37">
        <v>1</v>
      </c>
      <c r="J37" t="s">
        <v>198</v>
      </c>
    </row>
    <row r="38" spans="1:10">
      <c r="A38" t="s">
        <v>45</v>
      </c>
      <c r="B38" t="s">
        <v>42</v>
      </c>
      <c r="C38">
        <v>7</v>
      </c>
      <c r="D38" t="s">
        <v>130</v>
      </c>
      <c r="E38" s="2">
        <v>46388</v>
      </c>
      <c r="F38" s="2">
        <v>46402</v>
      </c>
      <c r="G38" s="2">
        <v>46344</v>
      </c>
      <c r="H38" s="2">
        <v>46386</v>
      </c>
      <c r="I38">
        <v>1</v>
      </c>
      <c r="J38" t="s">
        <v>199</v>
      </c>
    </row>
    <row r="39" spans="1:10">
      <c r="A39" t="s">
        <v>47</v>
      </c>
      <c r="B39" t="s">
        <v>46</v>
      </c>
      <c r="C39">
        <v>3</v>
      </c>
      <c r="D39" t="s">
        <v>130</v>
      </c>
      <c r="E39" s="2">
        <v>46357</v>
      </c>
      <c r="F39" s="2">
        <v>46371</v>
      </c>
      <c r="G39" s="2">
        <v>46345</v>
      </c>
      <c r="H39" s="2">
        <v>46356</v>
      </c>
      <c r="I39">
        <v>0</v>
      </c>
      <c r="J39" t="s">
        <v>197</v>
      </c>
    </row>
    <row r="40" spans="1:10">
      <c r="A40" t="s">
        <v>48</v>
      </c>
      <c r="B40" t="s">
        <v>46</v>
      </c>
      <c r="C40">
        <v>4</v>
      </c>
      <c r="D40" t="s">
        <v>130</v>
      </c>
      <c r="E40" s="2">
        <v>46388</v>
      </c>
      <c r="F40" s="2">
        <v>46402</v>
      </c>
      <c r="G40" s="2">
        <v>46345</v>
      </c>
      <c r="H40" s="2">
        <v>46386</v>
      </c>
      <c r="I40">
        <v>1</v>
      </c>
      <c r="J40" t="s">
        <v>199</v>
      </c>
    </row>
    <row r="41" spans="1:10">
      <c r="A41" t="s">
        <v>50</v>
      </c>
      <c r="B41" t="s">
        <v>49</v>
      </c>
      <c r="C41">
        <v>10</v>
      </c>
      <c r="D41" t="s">
        <v>131</v>
      </c>
      <c r="E41" s="2">
        <v>46357</v>
      </c>
      <c r="F41" s="2">
        <v>46371</v>
      </c>
      <c r="G41" s="2">
        <v>46345</v>
      </c>
      <c r="H41" s="2">
        <v>46356</v>
      </c>
      <c r="I41">
        <v>0</v>
      </c>
      <c r="J41" t="s">
        <v>197</v>
      </c>
    </row>
    <row r="42" spans="1:10">
      <c r="A42" t="s">
        <v>52</v>
      </c>
      <c r="B42" t="s">
        <v>51</v>
      </c>
      <c r="C42">
        <v>5</v>
      </c>
      <c r="D42" t="s">
        <v>131</v>
      </c>
      <c r="E42" s="2">
        <v>46357</v>
      </c>
      <c r="F42" s="2">
        <v>46371</v>
      </c>
      <c r="G42" s="2">
        <v>46346</v>
      </c>
      <c r="H42" s="2">
        <v>46356</v>
      </c>
      <c r="I42">
        <v>0</v>
      </c>
      <c r="J42" t="s">
        <v>197</v>
      </c>
    </row>
    <row r="43" spans="1:10">
      <c r="A43" t="s">
        <v>54</v>
      </c>
      <c r="B43" t="s">
        <v>53</v>
      </c>
      <c r="C43">
        <v>5</v>
      </c>
      <c r="D43" t="s">
        <v>130</v>
      </c>
      <c r="E43" s="2">
        <v>46357</v>
      </c>
      <c r="F43" s="2">
        <v>46371</v>
      </c>
      <c r="G43" s="2">
        <v>46346</v>
      </c>
      <c r="H43" s="2">
        <v>46356</v>
      </c>
      <c r="I43">
        <v>0</v>
      </c>
      <c r="J43" t="s">
        <v>197</v>
      </c>
    </row>
    <row r="44" spans="1:10">
      <c r="A44" t="s">
        <v>56</v>
      </c>
      <c r="B44" t="s">
        <v>55</v>
      </c>
      <c r="C44">
        <v>8</v>
      </c>
      <c r="D44" t="s">
        <v>130</v>
      </c>
      <c r="E44" s="2">
        <v>46388</v>
      </c>
      <c r="F44" s="2">
        <v>46402</v>
      </c>
      <c r="G44" s="2">
        <v>46350</v>
      </c>
      <c r="H44" s="2">
        <v>46386</v>
      </c>
      <c r="I44">
        <v>1</v>
      </c>
      <c r="J44" t="s">
        <v>199</v>
      </c>
    </row>
    <row r="45" spans="1:10">
      <c r="A45" t="s">
        <v>57</v>
      </c>
      <c r="B45" t="s">
        <v>40</v>
      </c>
      <c r="C45">
        <v>28</v>
      </c>
      <c r="D45" t="s">
        <v>131</v>
      </c>
      <c r="E45" s="2">
        <v>46372</v>
      </c>
      <c r="F45" s="2">
        <v>46379</v>
      </c>
      <c r="G45" s="2">
        <v>46352</v>
      </c>
      <c r="H45" s="2">
        <v>46371</v>
      </c>
      <c r="I45">
        <v>1</v>
      </c>
      <c r="J45" t="s">
        <v>198</v>
      </c>
    </row>
    <row r="46" spans="1:10">
      <c r="A46" t="s">
        <v>58</v>
      </c>
      <c r="B46" t="s">
        <v>55</v>
      </c>
      <c r="C46">
        <v>8</v>
      </c>
      <c r="D46" t="s">
        <v>130</v>
      </c>
      <c r="E46" s="2">
        <v>46372</v>
      </c>
      <c r="F46" s="2">
        <v>46387</v>
      </c>
      <c r="G46" s="2">
        <v>46356</v>
      </c>
      <c r="H46" s="2">
        <v>46371</v>
      </c>
      <c r="I46">
        <v>1</v>
      </c>
      <c r="J46" t="s">
        <v>198</v>
      </c>
    </row>
    <row r="47" spans="1:10">
      <c r="A47" t="s">
        <v>60</v>
      </c>
      <c r="B47" t="s">
        <v>59</v>
      </c>
      <c r="C47">
        <v>2.3340000000000001</v>
      </c>
      <c r="D47" t="s">
        <v>130</v>
      </c>
      <c r="E47" s="2">
        <v>46357</v>
      </c>
      <c r="F47" s="2">
        <v>46363</v>
      </c>
      <c r="G47" s="2">
        <v>46356</v>
      </c>
      <c r="H47" s="2">
        <v>46356</v>
      </c>
      <c r="I47">
        <v>0</v>
      </c>
      <c r="J47" t="s">
        <v>197</v>
      </c>
    </row>
    <row r="48" spans="1:10">
      <c r="A48" t="s">
        <v>61</v>
      </c>
      <c r="B48" t="s">
        <v>34</v>
      </c>
      <c r="C48">
        <v>17</v>
      </c>
      <c r="D48" t="s">
        <v>130</v>
      </c>
      <c r="E48" s="2">
        <v>46388</v>
      </c>
      <c r="F48" s="2">
        <v>46402</v>
      </c>
      <c r="G48" s="2">
        <v>46357</v>
      </c>
      <c r="H48" s="2">
        <v>46386</v>
      </c>
      <c r="I48">
        <v>1</v>
      </c>
      <c r="J48" t="s">
        <v>199</v>
      </c>
    </row>
    <row r="49" spans="1:10">
      <c r="A49" t="s">
        <v>62</v>
      </c>
      <c r="B49" t="s">
        <v>37</v>
      </c>
      <c r="C49">
        <v>14</v>
      </c>
      <c r="D49" t="s">
        <v>130</v>
      </c>
      <c r="E49" s="2">
        <v>46388</v>
      </c>
      <c r="F49" s="2">
        <v>46402</v>
      </c>
      <c r="G49" s="2">
        <v>46358</v>
      </c>
      <c r="H49" s="2">
        <v>46386</v>
      </c>
      <c r="I49">
        <v>1</v>
      </c>
      <c r="J49" t="s">
        <v>199</v>
      </c>
    </row>
    <row r="50" spans="1:10">
      <c r="A50" t="s">
        <v>63</v>
      </c>
      <c r="B50" t="s">
        <v>51</v>
      </c>
      <c r="C50">
        <v>5</v>
      </c>
      <c r="D50" t="s">
        <v>131</v>
      </c>
      <c r="E50" s="2">
        <v>46372</v>
      </c>
      <c r="F50" s="2">
        <v>46387</v>
      </c>
      <c r="G50" s="2">
        <v>46359</v>
      </c>
      <c r="H50" s="2">
        <v>46371</v>
      </c>
      <c r="I50">
        <v>1</v>
      </c>
      <c r="J50" t="s">
        <v>198</v>
      </c>
    </row>
    <row r="51" spans="1:10">
      <c r="A51" t="s">
        <v>64</v>
      </c>
      <c r="B51" t="s">
        <v>40</v>
      </c>
      <c r="C51">
        <v>28</v>
      </c>
      <c r="D51" t="s">
        <v>131</v>
      </c>
      <c r="E51" s="2">
        <v>46380</v>
      </c>
      <c r="F51" s="2">
        <v>46387</v>
      </c>
      <c r="G51" s="2">
        <v>46359</v>
      </c>
      <c r="H51" s="2">
        <v>46379</v>
      </c>
      <c r="I51">
        <v>1</v>
      </c>
      <c r="J51" t="s">
        <v>198</v>
      </c>
    </row>
    <row r="52" spans="1:10">
      <c r="A52" t="s">
        <v>66</v>
      </c>
      <c r="B52" t="s">
        <v>65</v>
      </c>
      <c r="C52">
        <v>24</v>
      </c>
      <c r="D52" t="s">
        <v>130</v>
      </c>
      <c r="E52" s="2">
        <v>46372</v>
      </c>
      <c r="F52" s="2">
        <v>46387</v>
      </c>
      <c r="G52" s="2">
        <v>46360</v>
      </c>
      <c r="H52" s="2">
        <v>46371</v>
      </c>
      <c r="I52">
        <v>1</v>
      </c>
      <c r="J52" t="s">
        <v>198</v>
      </c>
    </row>
    <row r="53" spans="1:10">
      <c r="A53" t="s">
        <v>67</v>
      </c>
      <c r="B53" t="s">
        <v>34</v>
      </c>
      <c r="C53">
        <v>14</v>
      </c>
      <c r="D53" t="s">
        <v>130</v>
      </c>
      <c r="E53" s="2">
        <v>46403</v>
      </c>
      <c r="F53" s="2">
        <v>46418</v>
      </c>
      <c r="G53" s="2">
        <v>46363</v>
      </c>
      <c r="H53" s="2">
        <v>46402</v>
      </c>
      <c r="I53">
        <v>1</v>
      </c>
      <c r="J53" t="s">
        <v>200</v>
      </c>
    </row>
    <row r="54" spans="1:10">
      <c r="A54" t="s">
        <v>68</v>
      </c>
      <c r="B54" t="s">
        <v>59</v>
      </c>
      <c r="C54">
        <v>2.3330000000000002</v>
      </c>
      <c r="D54" t="s">
        <v>130</v>
      </c>
      <c r="E54" s="2">
        <v>46364</v>
      </c>
      <c r="F54" s="2">
        <v>46370</v>
      </c>
      <c r="G54" s="2">
        <v>46363</v>
      </c>
      <c r="H54" s="2">
        <v>46363</v>
      </c>
      <c r="I54">
        <v>0</v>
      </c>
      <c r="J54" t="s">
        <v>197</v>
      </c>
    </row>
    <row r="55" spans="1:10">
      <c r="A55" t="s">
        <v>69</v>
      </c>
      <c r="B55" t="s">
        <v>40</v>
      </c>
      <c r="C55">
        <v>37</v>
      </c>
      <c r="D55" t="s">
        <v>131</v>
      </c>
      <c r="E55" s="2">
        <v>46388</v>
      </c>
      <c r="F55" s="2">
        <v>46391</v>
      </c>
      <c r="G55" s="2">
        <v>46364</v>
      </c>
      <c r="H55" s="2">
        <v>46386</v>
      </c>
      <c r="I55">
        <v>1</v>
      </c>
      <c r="J55" t="s">
        <v>199</v>
      </c>
    </row>
    <row r="56" spans="1:10">
      <c r="A56" t="s">
        <v>71</v>
      </c>
      <c r="B56" t="s">
        <v>70</v>
      </c>
      <c r="C56">
        <v>5</v>
      </c>
      <c r="D56" t="s">
        <v>131</v>
      </c>
      <c r="E56" s="2">
        <v>46372</v>
      </c>
      <c r="F56" s="2">
        <v>46387</v>
      </c>
      <c r="G56" s="2">
        <v>46365</v>
      </c>
      <c r="H56" s="2">
        <v>46371</v>
      </c>
      <c r="I56">
        <v>1</v>
      </c>
      <c r="J56" t="s">
        <v>198</v>
      </c>
    </row>
    <row r="57" spans="1:10">
      <c r="A57" t="s">
        <v>72</v>
      </c>
      <c r="B57" t="s">
        <v>37</v>
      </c>
      <c r="C57">
        <v>14</v>
      </c>
      <c r="D57" t="s">
        <v>130</v>
      </c>
      <c r="E57" s="2">
        <v>46403</v>
      </c>
      <c r="F57" s="2">
        <v>46418</v>
      </c>
      <c r="G57" s="2">
        <v>46365</v>
      </c>
      <c r="H57" s="2">
        <v>46402</v>
      </c>
      <c r="I57">
        <v>1</v>
      </c>
      <c r="J57" t="s">
        <v>200</v>
      </c>
    </row>
    <row r="58" spans="1:10">
      <c r="A58" t="s">
        <v>73</v>
      </c>
      <c r="B58" t="s">
        <v>40</v>
      </c>
      <c r="C58">
        <v>38</v>
      </c>
      <c r="D58" t="s">
        <v>131</v>
      </c>
      <c r="E58" s="2">
        <v>46392</v>
      </c>
      <c r="F58" s="2">
        <v>46395</v>
      </c>
      <c r="G58" s="2">
        <v>46366</v>
      </c>
      <c r="H58" s="2">
        <v>46386</v>
      </c>
      <c r="I58">
        <v>1</v>
      </c>
      <c r="J58" t="s">
        <v>199</v>
      </c>
    </row>
    <row r="59" spans="1:10">
      <c r="A59" t="s">
        <v>74</v>
      </c>
      <c r="B59" t="s">
        <v>49</v>
      </c>
      <c r="C59">
        <v>7</v>
      </c>
      <c r="D59" t="s">
        <v>131</v>
      </c>
      <c r="E59" s="2">
        <v>46372</v>
      </c>
      <c r="F59" s="2">
        <v>46387</v>
      </c>
      <c r="G59" s="2">
        <v>46367</v>
      </c>
      <c r="H59" s="2">
        <v>46371</v>
      </c>
      <c r="I59">
        <v>1</v>
      </c>
      <c r="J59" t="s">
        <v>198</v>
      </c>
    </row>
    <row r="60" spans="1:10">
      <c r="A60" t="s">
        <v>75</v>
      </c>
      <c r="B60" t="s">
        <v>49</v>
      </c>
      <c r="C60">
        <v>8</v>
      </c>
      <c r="D60" t="s">
        <v>131</v>
      </c>
      <c r="E60" s="2">
        <v>46388</v>
      </c>
      <c r="F60" s="2">
        <v>46395</v>
      </c>
      <c r="G60" s="2">
        <v>46367</v>
      </c>
      <c r="H60" s="2">
        <v>46386</v>
      </c>
      <c r="I60">
        <v>1</v>
      </c>
      <c r="J60" t="s">
        <v>199</v>
      </c>
    </row>
    <row r="61" spans="1:10">
      <c r="A61" t="s">
        <v>76</v>
      </c>
      <c r="B61" t="s">
        <v>53</v>
      </c>
      <c r="C61">
        <v>12</v>
      </c>
      <c r="D61" t="s">
        <v>130</v>
      </c>
      <c r="E61" s="2">
        <v>46372</v>
      </c>
      <c r="F61" s="2">
        <v>46387</v>
      </c>
      <c r="G61" s="2">
        <v>46367</v>
      </c>
      <c r="H61" s="2">
        <v>46371</v>
      </c>
      <c r="I61">
        <v>1</v>
      </c>
      <c r="J61" t="s">
        <v>198</v>
      </c>
    </row>
    <row r="62" spans="1:10">
      <c r="A62" t="s">
        <v>77</v>
      </c>
      <c r="B62" t="s">
        <v>65</v>
      </c>
      <c r="C62">
        <v>20</v>
      </c>
      <c r="D62" t="s">
        <v>130</v>
      </c>
      <c r="E62" s="2">
        <v>46388</v>
      </c>
      <c r="F62" s="2">
        <v>46395</v>
      </c>
      <c r="G62" s="2">
        <v>46370</v>
      </c>
      <c r="H62" s="2">
        <v>46386</v>
      </c>
      <c r="I62">
        <v>1</v>
      </c>
      <c r="J62" t="s">
        <v>199</v>
      </c>
    </row>
    <row r="63" spans="1:10">
      <c r="A63" t="s">
        <v>78</v>
      </c>
      <c r="B63" t="s">
        <v>59</v>
      </c>
      <c r="C63">
        <v>3.7080000000000002</v>
      </c>
      <c r="D63" t="s">
        <v>130</v>
      </c>
      <c r="E63" s="2">
        <v>46371</v>
      </c>
      <c r="F63" s="2">
        <v>46377</v>
      </c>
      <c r="G63" s="2">
        <v>46370</v>
      </c>
      <c r="H63" s="2">
        <v>46370</v>
      </c>
      <c r="I63">
        <v>1</v>
      </c>
      <c r="J63" t="s">
        <v>201</v>
      </c>
    </row>
    <row r="64" spans="1:10">
      <c r="A64" t="s">
        <v>79</v>
      </c>
      <c r="B64" t="s">
        <v>55</v>
      </c>
      <c r="C64">
        <v>4</v>
      </c>
      <c r="D64" t="s">
        <v>130</v>
      </c>
      <c r="E64" s="2">
        <v>46403</v>
      </c>
      <c r="F64" s="2">
        <v>46418</v>
      </c>
      <c r="G64" s="2">
        <v>46371</v>
      </c>
      <c r="H64" s="2">
        <v>46402</v>
      </c>
      <c r="I64">
        <v>1</v>
      </c>
      <c r="J64" t="s">
        <v>200</v>
      </c>
    </row>
    <row r="65" spans="1:10">
      <c r="A65" t="s">
        <v>80</v>
      </c>
      <c r="B65" t="s">
        <v>40</v>
      </c>
      <c r="C65">
        <v>28</v>
      </c>
      <c r="D65" t="s">
        <v>131</v>
      </c>
      <c r="E65" s="2">
        <v>46396</v>
      </c>
      <c r="F65" s="2">
        <v>46398</v>
      </c>
      <c r="G65" s="2">
        <v>46371</v>
      </c>
      <c r="H65" s="2">
        <v>46394</v>
      </c>
      <c r="I65">
        <v>1</v>
      </c>
      <c r="J65" t="s">
        <v>199</v>
      </c>
    </row>
    <row r="66" spans="1:10">
      <c r="A66" t="s">
        <v>81</v>
      </c>
      <c r="B66" t="s">
        <v>42</v>
      </c>
      <c r="C66">
        <v>3</v>
      </c>
      <c r="D66" t="s">
        <v>130</v>
      </c>
      <c r="E66" s="2">
        <v>46403</v>
      </c>
      <c r="F66" s="2">
        <v>46418</v>
      </c>
      <c r="G66" s="2">
        <v>46372</v>
      </c>
      <c r="H66" s="2">
        <v>46402</v>
      </c>
      <c r="I66">
        <v>1</v>
      </c>
      <c r="J66" t="s">
        <v>200</v>
      </c>
    </row>
    <row r="67" spans="1:10">
      <c r="A67" t="s">
        <v>82</v>
      </c>
      <c r="B67" t="s">
        <v>53</v>
      </c>
      <c r="C67">
        <v>14</v>
      </c>
      <c r="D67" t="s">
        <v>130</v>
      </c>
      <c r="E67" s="2">
        <v>46388</v>
      </c>
      <c r="F67" s="2">
        <v>46395</v>
      </c>
      <c r="G67" s="2">
        <v>46372</v>
      </c>
      <c r="H67" s="2">
        <v>46386</v>
      </c>
      <c r="I67">
        <v>1</v>
      </c>
      <c r="J67" t="s">
        <v>199</v>
      </c>
    </row>
    <row r="68" spans="1:10">
      <c r="A68" t="s">
        <v>83</v>
      </c>
      <c r="B68" t="s">
        <v>40</v>
      </c>
      <c r="C68">
        <v>37</v>
      </c>
      <c r="D68" t="s">
        <v>131</v>
      </c>
      <c r="E68" s="2">
        <v>46399</v>
      </c>
      <c r="F68" s="2">
        <v>46402</v>
      </c>
      <c r="G68" s="2">
        <v>46373</v>
      </c>
      <c r="H68" s="2">
        <v>46394</v>
      </c>
      <c r="I68">
        <v>1</v>
      </c>
      <c r="J68" t="s">
        <v>199</v>
      </c>
    </row>
    <row r="69" spans="1:10">
      <c r="A69" t="s">
        <v>84</v>
      </c>
      <c r="B69" t="s">
        <v>70</v>
      </c>
      <c r="C69">
        <v>3</v>
      </c>
      <c r="D69" t="s">
        <v>131</v>
      </c>
      <c r="E69" s="2">
        <v>46388</v>
      </c>
      <c r="F69" s="2">
        <v>46402</v>
      </c>
      <c r="G69" s="2">
        <v>46374</v>
      </c>
      <c r="H69" s="2">
        <v>46386</v>
      </c>
      <c r="I69">
        <v>1</v>
      </c>
      <c r="J69" t="s">
        <v>199</v>
      </c>
    </row>
    <row r="70" spans="1:10">
      <c r="A70" t="s">
        <v>85</v>
      </c>
      <c r="B70" t="s">
        <v>65</v>
      </c>
      <c r="C70">
        <v>18</v>
      </c>
      <c r="D70" t="s">
        <v>130</v>
      </c>
      <c r="E70" s="2">
        <v>46396</v>
      </c>
      <c r="F70" s="2">
        <v>46402</v>
      </c>
      <c r="G70" s="2">
        <v>46374</v>
      </c>
      <c r="H70" s="2">
        <v>46394</v>
      </c>
      <c r="I70">
        <v>1</v>
      </c>
      <c r="J70" t="s">
        <v>199</v>
      </c>
    </row>
    <row r="71" spans="1:10">
      <c r="A71" t="s">
        <v>86</v>
      </c>
      <c r="B71" t="s">
        <v>59</v>
      </c>
      <c r="C71">
        <v>3.9380000000000002</v>
      </c>
      <c r="D71" t="s">
        <v>130</v>
      </c>
      <c r="E71" s="2">
        <v>46378</v>
      </c>
      <c r="F71" s="2">
        <v>46384</v>
      </c>
      <c r="G71" s="2">
        <v>46377</v>
      </c>
      <c r="H71" s="2">
        <v>46377</v>
      </c>
      <c r="I71">
        <v>0</v>
      </c>
      <c r="J71" t="s">
        <v>198</v>
      </c>
    </row>
    <row r="72" spans="1:10">
      <c r="A72" t="s">
        <v>87</v>
      </c>
      <c r="B72" t="s">
        <v>53</v>
      </c>
      <c r="C72">
        <v>13</v>
      </c>
      <c r="D72" t="s">
        <v>130</v>
      </c>
      <c r="E72" s="2">
        <v>46396</v>
      </c>
      <c r="F72" s="2">
        <v>46402</v>
      </c>
      <c r="G72" s="2">
        <v>46377</v>
      </c>
      <c r="H72" s="2">
        <v>46394</v>
      </c>
      <c r="I72">
        <v>0</v>
      </c>
      <c r="J72" t="s">
        <v>199</v>
      </c>
    </row>
    <row r="73" spans="1:10">
      <c r="A73" t="s">
        <v>88</v>
      </c>
      <c r="B73" t="s">
        <v>51</v>
      </c>
      <c r="C73">
        <v>5</v>
      </c>
      <c r="D73" t="s">
        <v>131</v>
      </c>
      <c r="E73" s="2">
        <v>46388</v>
      </c>
      <c r="F73" s="2">
        <v>46402</v>
      </c>
      <c r="G73" s="2">
        <v>46378</v>
      </c>
      <c r="H73" s="2">
        <v>46386</v>
      </c>
      <c r="I73">
        <v>0</v>
      </c>
      <c r="J73" t="s">
        <v>199</v>
      </c>
    </row>
    <row r="74" spans="1:10">
      <c r="A74" t="s">
        <v>89</v>
      </c>
      <c r="B74" t="s">
        <v>49</v>
      </c>
      <c r="C74">
        <v>7</v>
      </c>
      <c r="D74" t="s">
        <v>131</v>
      </c>
      <c r="E74" s="2">
        <v>46396</v>
      </c>
      <c r="F74" s="2">
        <v>46402</v>
      </c>
      <c r="G74" s="2">
        <v>46378</v>
      </c>
      <c r="H74" s="2">
        <v>46394</v>
      </c>
      <c r="I74">
        <v>0</v>
      </c>
      <c r="J74" t="s">
        <v>199</v>
      </c>
    </row>
    <row r="75" spans="1:10">
      <c r="A75" t="s">
        <v>90</v>
      </c>
      <c r="B75" t="s">
        <v>46</v>
      </c>
      <c r="C75">
        <v>3</v>
      </c>
      <c r="D75" t="s">
        <v>130</v>
      </c>
      <c r="E75" s="2">
        <v>46403</v>
      </c>
      <c r="F75" s="2">
        <v>46418</v>
      </c>
      <c r="G75" s="2">
        <v>46379</v>
      </c>
      <c r="H75" s="2">
        <v>46402</v>
      </c>
      <c r="I75">
        <v>0</v>
      </c>
      <c r="J75" t="s">
        <v>200</v>
      </c>
    </row>
    <row r="76" spans="1:10">
      <c r="A76" t="s">
        <v>91</v>
      </c>
      <c r="B76" t="s">
        <v>59</v>
      </c>
      <c r="C76">
        <v>3.0209999999999999</v>
      </c>
      <c r="D76" t="s">
        <v>130</v>
      </c>
      <c r="E76" s="2">
        <v>46385</v>
      </c>
      <c r="F76" s="2">
        <v>46391</v>
      </c>
      <c r="G76" s="2">
        <v>46384</v>
      </c>
      <c r="H76" s="2">
        <v>46384</v>
      </c>
      <c r="I76">
        <v>0</v>
      </c>
      <c r="J76" t="s">
        <v>202</v>
      </c>
    </row>
    <row r="77" spans="1:10">
      <c r="A77" t="s">
        <v>92</v>
      </c>
      <c r="B77" t="s">
        <v>59</v>
      </c>
      <c r="C77">
        <v>2.3330000000000002</v>
      </c>
      <c r="D77" t="s">
        <v>130</v>
      </c>
      <c r="E77" s="2">
        <v>46392</v>
      </c>
      <c r="F77" s="2">
        <v>46398</v>
      </c>
      <c r="G77" s="2">
        <v>46391</v>
      </c>
      <c r="H77" s="2">
        <v>46391</v>
      </c>
      <c r="I77">
        <v>0</v>
      </c>
      <c r="J77" t="s">
        <v>199</v>
      </c>
    </row>
    <row r="78" spans="1:10">
      <c r="A78" t="s">
        <v>93</v>
      </c>
      <c r="B78" t="s">
        <v>65</v>
      </c>
      <c r="C78">
        <v>15</v>
      </c>
      <c r="D78" t="s">
        <v>130</v>
      </c>
      <c r="E78" s="2">
        <v>46403</v>
      </c>
      <c r="F78" s="2">
        <v>46418</v>
      </c>
      <c r="G78" s="2">
        <v>46392</v>
      </c>
      <c r="H78" s="2">
        <v>46402</v>
      </c>
      <c r="I78">
        <v>0</v>
      </c>
      <c r="J78" t="s">
        <v>200</v>
      </c>
    </row>
    <row r="79" spans="1:10">
      <c r="A79" t="s">
        <v>94</v>
      </c>
      <c r="B79" t="s">
        <v>53</v>
      </c>
      <c r="C79">
        <v>17</v>
      </c>
      <c r="D79" t="s">
        <v>130</v>
      </c>
      <c r="E79" s="2">
        <v>46403</v>
      </c>
      <c r="F79" s="2">
        <v>46418</v>
      </c>
      <c r="G79" s="2">
        <v>46393</v>
      </c>
      <c r="H79" s="2">
        <v>46402</v>
      </c>
      <c r="I79">
        <v>0</v>
      </c>
      <c r="J79" t="s">
        <v>200</v>
      </c>
    </row>
    <row r="80" spans="1:10">
      <c r="A80" t="s">
        <v>95</v>
      </c>
      <c r="B80" t="s">
        <v>70</v>
      </c>
      <c r="C80">
        <v>3</v>
      </c>
      <c r="D80" t="s">
        <v>131</v>
      </c>
      <c r="E80" s="2">
        <v>46403</v>
      </c>
      <c r="F80" s="2">
        <v>46418</v>
      </c>
      <c r="G80" s="2">
        <v>46394</v>
      </c>
      <c r="H80" s="2">
        <v>46402</v>
      </c>
      <c r="I80">
        <v>0</v>
      </c>
      <c r="J80" t="s">
        <v>200</v>
      </c>
    </row>
    <row r="81" spans="1:10">
      <c r="A81" t="s">
        <v>96</v>
      </c>
      <c r="B81" t="s">
        <v>40</v>
      </c>
      <c r="C81">
        <v>25</v>
      </c>
      <c r="D81" t="s">
        <v>131</v>
      </c>
      <c r="E81" s="2">
        <v>46403</v>
      </c>
      <c r="F81" s="2">
        <v>46418</v>
      </c>
      <c r="G81" s="2">
        <v>46394</v>
      </c>
      <c r="H81" s="2">
        <v>46402</v>
      </c>
      <c r="I81">
        <v>0</v>
      </c>
      <c r="J81" t="s">
        <v>200</v>
      </c>
    </row>
    <row r="82" spans="1:10">
      <c r="A82" t="s">
        <v>97</v>
      </c>
      <c r="B82" t="s">
        <v>49</v>
      </c>
      <c r="C82">
        <v>13</v>
      </c>
      <c r="D82" t="s">
        <v>131</v>
      </c>
      <c r="E82" s="2">
        <v>46403</v>
      </c>
      <c r="F82" s="2">
        <v>46418</v>
      </c>
      <c r="G82" s="2">
        <v>46395</v>
      </c>
      <c r="H82" s="2">
        <v>46402</v>
      </c>
      <c r="I82">
        <v>0</v>
      </c>
      <c r="J82" t="s">
        <v>200</v>
      </c>
    </row>
    <row r="83" spans="1:10">
      <c r="A83" t="s">
        <v>98</v>
      </c>
      <c r="B83" t="s">
        <v>40</v>
      </c>
      <c r="C83">
        <v>25</v>
      </c>
      <c r="D83" t="s">
        <v>131</v>
      </c>
      <c r="E83" s="2">
        <v>46403</v>
      </c>
      <c r="F83" s="2">
        <v>46418</v>
      </c>
      <c r="G83" s="2">
        <v>46395</v>
      </c>
      <c r="H83" s="2">
        <v>46402</v>
      </c>
      <c r="I83">
        <v>0</v>
      </c>
      <c r="J83" t="s">
        <v>200</v>
      </c>
    </row>
    <row r="84" spans="1:10">
      <c r="A84" t="s">
        <v>99</v>
      </c>
      <c r="B84" t="s">
        <v>59</v>
      </c>
      <c r="C84">
        <v>2.8330000000000002</v>
      </c>
      <c r="D84" t="s">
        <v>130</v>
      </c>
      <c r="E84" s="2">
        <v>46399</v>
      </c>
      <c r="F84" s="2">
        <v>46405</v>
      </c>
      <c r="G84" s="2">
        <v>46398</v>
      </c>
      <c r="H84" s="2">
        <v>46398</v>
      </c>
      <c r="I84">
        <v>0</v>
      </c>
      <c r="J84" t="s">
        <v>203</v>
      </c>
    </row>
    <row r="85" spans="1:10">
      <c r="A85" t="s">
        <v>100</v>
      </c>
      <c r="B85" t="s">
        <v>34</v>
      </c>
      <c r="C85">
        <v>10</v>
      </c>
      <c r="D85" t="s">
        <v>130</v>
      </c>
      <c r="E85" s="2">
        <v>46419</v>
      </c>
      <c r="F85" s="2">
        <v>46433</v>
      </c>
      <c r="G85" s="2">
        <v>46405</v>
      </c>
      <c r="H85" s="2">
        <v>46416</v>
      </c>
      <c r="I85">
        <v>0</v>
      </c>
      <c r="J85" t="s">
        <v>204</v>
      </c>
    </row>
    <row r="86" spans="1:10">
      <c r="A86" t="s">
        <v>101</v>
      </c>
      <c r="B86" t="s">
        <v>59</v>
      </c>
      <c r="C86">
        <v>3.5</v>
      </c>
      <c r="D86" t="s">
        <v>130</v>
      </c>
      <c r="E86" s="2">
        <v>46406</v>
      </c>
      <c r="F86" s="2">
        <v>46412</v>
      </c>
      <c r="G86" s="2">
        <v>46405</v>
      </c>
      <c r="H86" s="2">
        <v>46405</v>
      </c>
      <c r="I86">
        <v>0</v>
      </c>
      <c r="J86" t="s">
        <v>200</v>
      </c>
    </row>
    <row r="87" spans="1:10">
      <c r="A87" t="s">
        <v>102</v>
      </c>
      <c r="B87" t="s">
        <v>37</v>
      </c>
      <c r="C87">
        <v>14</v>
      </c>
      <c r="D87" t="s">
        <v>130</v>
      </c>
      <c r="E87" s="2">
        <v>46419</v>
      </c>
      <c r="F87" s="2">
        <v>46433</v>
      </c>
      <c r="G87" s="2">
        <v>46406</v>
      </c>
      <c r="H87" s="2">
        <v>46416</v>
      </c>
      <c r="I87">
        <v>0</v>
      </c>
      <c r="J87" t="s">
        <v>204</v>
      </c>
    </row>
    <row r="88" spans="1:10">
      <c r="A88" t="s">
        <v>103</v>
      </c>
      <c r="B88" t="s">
        <v>46</v>
      </c>
      <c r="C88">
        <v>2</v>
      </c>
      <c r="D88" t="s">
        <v>130</v>
      </c>
      <c r="E88" s="2">
        <v>46419</v>
      </c>
      <c r="F88" s="2">
        <v>46433</v>
      </c>
      <c r="G88" s="2">
        <v>46406</v>
      </c>
      <c r="H88" s="2">
        <v>46416</v>
      </c>
      <c r="I88">
        <v>0</v>
      </c>
      <c r="J88" t="s">
        <v>204</v>
      </c>
    </row>
    <row r="89" spans="1:10">
      <c r="A89" t="s">
        <v>104</v>
      </c>
      <c r="B89" t="s">
        <v>42</v>
      </c>
      <c r="C89">
        <v>8</v>
      </c>
      <c r="D89" t="s">
        <v>130</v>
      </c>
      <c r="E89" s="2">
        <v>46419</v>
      </c>
      <c r="F89" s="2">
        <v>46433</v>
      </c>
      <c r="G89" s="2">
        <v>46407</v>
      </c>
      <c r="H89" s="2">
        <v>46416</v>
      </c>
      <c r="I89">
        <v>0</v>
      </c>
      <c r="J89" t="s">
        <v>204</v>
      </c>
    </row>
    <row r="90" spans="1:10">
      <c r="A90" t="s">
        <v>105</v>
      </c>
      <c r="B90" t="s">
        <v>53</v>
      </c>
      <c r="C90">
        <v>13</v>
      </c>
      <c r="D90" t="s">
        <v>130</v>
      </c>
      <c r="E90" s="2">
        <v>46419</v>
      </c>
      <c r="F90" s="2">
        <v>46425</v>
      </c>
      <c r="G90" s="2">
        <v>46407</v>
      </c>
      <c r="H90" s="2">
        <v>46416</v>
      </c>
      <c r="I90">
        <v>0</v>
      </c>
      <c r="J90" t="s">
        <v>204</v>
      </c>
    </row>
    <row r="91" spans="1:10">
      <c r="A91" t="s">
        <v>106</v>
      </c>
      <c r="B91" t="s">
        <v>40</v>
      </c>
      <c r="C91">
        <v>34</v>
      </c>
      <c r="D91" t="s">
        <v>131</v>
      </c>
      <c r="E91" s="2">
        <v>46419</v>
      </c>
      <c r="F91" s="2">
        <v>46433</v>
      </c>
      <c r="G91" s="2">
        <v>46408</v>
      </c>
      <c r="H91" s="2">
        <v>46416</v>
      </c>
      <c r="I91">
        <v>0</v>
      </c>
      <c r="J91" t="s">
        <v>204</v>
      </c>
    </row>
    <row r="92" spans="1:10">
      <c r="A92" t="s">
        <v>107</v>
      </c>
      <c r="B92" t="s">
        <v>65</v>
      </c>
      <c r="C92">
        <v>18</v>
      </c>
      <c r="D92" t="s">
        <v>130</v>
      </c>
      <c r="E92" s="2">
        <v>46419</v>
      </c>
      <c r="F92" s="2">
        <v>46425</v>
      </c>
      <c r="G92" s="2">
        <v>46409</v>
      </c>
      <c r="H92" s="2">
        <v>46416</v>
      </c>
      <c r="I92">
        <v>0</v>
      </c>
      <c r="J92" t="s">
        <v>204</v>
      </c>
    </row>
    <row r="93" spans="1:10">
      <c r="A93" t="s">
        <v>108</v>
      </c>
      <c r="B93" t="s">
        <v>59</v>
      </c>
      <c r="C93">
        <v>3</v>
      </c>
      <c r="D93" t="s">
        <v>130</v>
      </c>
      <c r="E93" s="2">
        <v>46413</v>
      </c>
      <c r="F93" s="2">
        <v>46418</v>
      </c>
      <c r="G93" s="2">
        <v>46412</v>
      </c>
      <c r="H93" s="2">
        <v>46412</v>
      </c>
      <c r="I93">
        <v>0</v>
      </c>
      <c r="J93" t="s">
        <v>200</v>
      </c>
    </row>
    <row r="94" spans="1:10">
      <c r="A94" t="s">
        <v>109</v>
      </c>
      <c r="B94" t="s">
        <v>40</v>
      </c>
      <c r="C94">
        <v>33</v>
      </c>
      <c r="D94" t="s">
        <v>131</v>
      </c>
      <c r="E94" s="2">
        <v>46419</v>
      </c>
      <c r="F94" s="2">
        <v>46433</v>
      </c>
      <c r="G94" s="2">
        <v>46412</v>
      </c>
      <c r="H94" s="2">
        <v>46416</v>
      </c>
      <c r="I94">
        <v>0</v>
      </c>
      <c r="J94" t="s">
        <v>204</v>
      </c>
    </row>
    <row r="95" spans="1:10">
      <c r="A95" t="s">
        <v>110</v>
      </c>
      <c r="B95" t="s">
        <v>49</v>
      </c>
      <c r="C95">
        <v>15</v>
      </c>
      <c r="D95" t="s">
        <v>131</v>
      </c>
      <c r="E95" s="2">
        <v>46419</v>
      </c>
      <c r="F95" s="2">
        <v>46433</v>
      </c>
      <c r="G95" s="2">
        <v>46413</v>
      </c>
      <c r="H95" s="2">
        <v>46416</v>
      </c>
      <c r="I95">
        <v>0</v>
      </c>
      <c r="J95" t="s">
        <v>204</v>
      </c>
    </row>
    <row r="96" spans="1:10">
      <c r="A96" t="s">
        <v>111</v>
      </c>
      <c r="B96" t="s">
        <v>40</v>
      </c>
      <c r="C96">
        <v>33</v>
      </c>
      <c r="D96" t="s">
        <v>131</v>
      </c>
      <c r="E96" s="2">
        <v>46419</v>
      </c>
      <c r="F96" s="2">
        <v>46433</v>
      </c>
      <c r="G96" s="2">
        <v>46414</v>
      </c>
      <c r="H96" s="2">
        <v>46416</v>
      </c>
      <c r="I96">
        <v>0</v>
      </c>
      <c r="J96" t="s">
        <v>204</v>
      </c>
    </row>
    <row r="97" spans="1:10">
      <c r="A97" t="s">
        <v>112</v>
      </c>
      <c r="B97" t="s">
        <v>70</v>
      </c>
      <c r="C97">
        <v>4</v>
      </c>
      <c r="D97" t="s">
        <v>131</v>
      </c>
      <c r="E97" s="2">
        <v>46419</v>
      </c>
      <c r="F97" s="2">
        <v>46433</v>
      </c>
      <c r="G97" s="2">
        <v>46415</v>
      </c>
      <c r="H97" s="2">
        <v>46416</v>
      </c>
      <c r="I97">
        <v>0</v>
      </c>
      <c r="J97" t="s">
        <v>204</v>
      </c>
    </row>
    <row r="98" spans="1:10">
      <c r="A98" t="s">
        <v>113</v>
      </c>
      <c r="B98" t="s">
        <v>53</v>
      </c>
      <c r="C98">
        <v>13</v>
      </c>
      <c r="D98" t="s">
        <v>130</v>
      </c>
      <c r="E98" s="2">
        <v>46426</v>
      </c>
      <c r="F98" s="2">
        <v>46433</v>
      </c>
      <c r="G98" s="2">
        <v>46420</v>
      </c>
      <c r="H98" s="2">
        <v>46423</v>
      </c>
      <c r="I98">
        <v>0</v>
      </c>
      <c r="J98" t="s">
        <v>204</v>
      </c>
    </row>
    <row r="99" spans="1:10">
      <c r="A99" t="s">
        <v>114</v>
      </c>
      <c r="B99" t="s">
        <v>65</v>
      </c>
      <c r="C99">
        <v>18</v>
      </c>
      <c r="D99" t="s">
        <v>130</v>
      </c>
      <c r="E99" s="2">
        <v>46426</v>
      </c>
      <c r="F99" s="2">
        <v>46433</v>
      </c>
      <c r="G99" s="2">
        <v>46421</v>
      </c>
      <c r="H99" s="2">
        <v>46423</v>
      </c>
      <c r="I99">
        <v>0</v>
      </c>
      <c r="J99" t="s">
        <v>204</v>
      </c>
    </row>
    <row r="100" spans="1:10">
      <c r="A100" t="s">
        <v>115</v>
      </c>
      <c r="B100" t="s">
        <v>55</v>
      </c>
      <c r="C100">
        <v>3</v>
      </c>
      <c r="D100" t="s">
        <v>130</v>
      </c>
      <c r="E100" s="2">
        <v>46434</v>
      </c>
      <c r="F100" s="2">
        <v>46446</v>
      </c>
      <c r="G100" s="2">
        <v>46422</v>
      </c>
      <c r="H100" s="2">
        <v>46433</v>
      </c>
      <c r="I100">
        <v>0</v>
      </c>
      <c r="J100" t="s">
        <v>205</v>
      </c>
    </row>
    <row r="101" spans="1:10">
      <c r="A101" t="s">
        <v>116</v>
      </c>
      <c r="B101" t="s">
        <v>34</v>
      </c>
      <c r="C101">
        <v>5</v>
      </c>
      <c r="D101" t="s">
        <v>130</v>
      </c>
      <c r="E101" s="2">
        <v>46434</v>
      </c>
      <c r="F101" s="2">
        <v>46446</v>
      </c>
      <c r="G101" s="2">
        <v>46422</v>
      </c>
      <c r="H101" s="2">
        <v>46433</v>
      </c>
      <c r="I101">
        <v>0</v>
      </c>
      <c r="J101" t="s">
        <v>205</v>
      </c>
    </row>
    <row r="102" spans="1:10">
      <c r="A102" t="s">
        <v>117</v>
      </c>
      <c r="B102" t="s">
        <v>42</v>
      </c>
      <c r="C102">
        <v>3</v>
      </c>
      <c r="D102" t="s">
        <v>130</v>
      </c>
      <c r="E102" s="2">
        <v>46434</v>
      </c>
      <c r="F102" s="2">
        <v>46446</v>
      </c>
      <c r="G102" s="2">
        <v>46423</v>
      </c>
      <c r="H102" s="2">
        <v>46433</v>
      </c>
      <c r="I102">
        <v>0</v>
      </c>
      <c r="J102" t="s">
        <v>205</v>
      </c>
    </row>
    <row r="103" spans="1:10">
      <c r="A103" t="s">
        <v>118</v>
      </c>
      <c r="B103" t="s">
        <v>37</v>
      </c>
      <c r="C103">
        <v>5</v>
      </c>
      <c r="D103" t="s">
        <v>130</v>
      </c>
      <c r="E103" s="2">
        <v>46434</v>
      </c>
      <c r="F103" s="2">
        <v>46446</v>
      </c>
      <c r="G103" s="2">
        <v>46423</v>
      </c>
      <c r="H103" s="2">
        <v>46433</v>
      </c>
      <c r="I103">
        <v>0</v>
      </c>
      <c r="J103" t="s">
        <v>205</v>
      </c>
    </row>
    <row r="104" spans="1:10">
      <c r="A104" t="s">
        <v>119</v>
      </c>
      <c r="B104" t="s">
        <v>65</v>
      </c>
      <c r="C104">
        <v>10</v>
      </c>
      <c r="D104" t="s">
        <v>130</v>
      </c>
      <c r="E104" s="2">
        <v>46434</v>
      </c>
      <c r="F104" s="2">
        <v>46446</v>
      </c>
      <c r="G104" s="2">
        <v>46426</v>
      </c>
      <c r="H104" s="2">
        <v>46433</v>
      </c>
      <c r="I104">
        <v>0</v>
      </c>
      <c r="J104" t="s">
        <v>205</v>
      </c>
    </row>
    <row r="105" spans="1:10">
      <c r="A105" t="s">
        <v>120</v>
      </c>
      <c r="B105" t="s">
        <v>40</v>
      </c>
      <c r="C105">
        <v>30</v>
      </c>
      <c r="D105" t="s">
        <v>131</v>
      </c>
      <c r="E105" s="2">
        <v>46434</v>
      </c>
      <c r="F105" s="2">
        <v>46446</v>
      </c>
      <c r="G105" s="2">
        <v>46427</v>
      </c>
      <c r="H105" s="2">
        <v>46433</v>
      </c>
      <c r="I105">
        <v>0</v>
      </c>
      <c r="J105" t="s">
        <v>205</v>
      </c>
    </row>
    <row r="106" spans="1:10">
      <c r="A106" t="s">
        <v>121</v>
      </c>
      <c r="B106" t="s">
        <v>53</v>
      </c>
      <c r="C106">
        <v>8</v>
      </c>
      <c r="D106" t="s">
        <v>130</v>
      </c>
      <c r="E106" s="2">
        <v>46434</v>
      </c>
      <c r="F106" s="2">
        <v>46446</v>
      </c>
      <c r="G106" s="2">
        <v>46428</v>
      </c>
      <c r="H106" s="2">
        <v>46433</v>
      </c>
      <c r="I106">
        <v>0</v>
      </c>
      <c r="J106" t="s">
        <v>205</v>
      </c>
    </row>
    <row r="107" spans="1:10">
      <c r="A107" t="s">
        <v>122</v>
      </c>
      <c r="B107" t="s">
        <v>49</v>
      </c>
      <c r="C107">
        <v>5</v>
      </c>
      <c r="D107" t="s">
        <v>131</v>
      </c>
      <c r="E107" s="2">
        <v>46434</v>
      </c>
      <c r="F107" s="2">
        <v>46446</v>
      </c>
      <c r="G107" s="2">
        <v>46429</v>
      </c>
      <c r="H107" s="2">
        <v>46433</v>
      </c>
      <c r="I107">
        <v>0</v>
      </c>
      <c r="J107" t="s">
        <v>205</v>
      </c>
    </row>
    <row r="108" spans="1:10">
      <c r="A108" t="s">
        <v>123</v>
      </c>
      <c r="B108" t="s">
        <v>70</v>
      </c>
      <c r="C108">
        <v>2</v>
      </c>
      <c r="D108" t="s">
        <v>131</v>
      </c>
      <c r="E108" s="2">
        <v>46434</v>
      </c>
      <c r="F108" s="2">
        <v>46446</v>
      </c>
      <c r="G108" s="2">
        <v>46430</v>
      </c>
      <c r="H108" s="2">
        <v>46433</v>
      </c>
      <c r="I108">
        <v>0</v>
      </c>
      <c r="J108" t="s">
        <v>205</v>
      </c>
    </row>
    <row r="109" spans="1:10">
      <c r="A109" t="s">
        <v>124</v>
      </c>
      <c r="B109" t="s">
        <v>59</v>
      </c>
      <c r="C109">
        <v>1.615</v>
      </c>
      <c r="D109" t="s">
        <v>130</v>
      </c>
      <c r="E109" s="2">
        <v>46434</v>
      </c>
      <c r="F109" s="2">
        <v>46440</v>
      </c>
      <c r="G109" s="2">
        <v>46433</v>
      </c>
      <c r="H109" s="2">
        <v>46433</v>
      </c>
      <c r="I109">
        <v>0</v>
      </c>
      <c r="J109" t="s">
        <v>205</v>
      </c>
    </row>
    <row r="110" spans="1:10">
      <c r="A110" t="s">
        <v>125</v>
      </c>
      <c r="B110" t="s">
        <v>59</v>
      </c>
      <c r="C110">
        <v>1.385</v>
      </c>
      <c r="D110" t="s">
        <v>130</v>
      </c>
      <c r="E110" s="2">
        <v>46441</v>
      </c>
      <c r="F110" s="2">
        <v>46446</v>
      </c>
      <c r="G110" s="2">
        <v>46440</v>
      </c>
      <c r="H110" s="2">
        <v>46440</v>
      </c>
      <c r="I110">
        <v>0</v>
      </c>
      <c r="J110" t="s">
        <v>205</v>
      </c>
    </row>
    <row r="111" spans="1:10">
      <c r="A111" t="inlineStr">
        <is>
          <t>T081</t>
        </is>
      </c>
      <c r="B111" t="inlineStr">
        <is>
          <t>Gari</t>
        </is>
      </c>
      <c r="C111">
        <v>10</v>
      </c>
      <c r="D111" t="inlineStr">
        <is>
          <t>kg</t>
        </is>
      </c>
      <c r="E111" s="2">
        <v>46357</v>
      </c>
      <c r="F111" s="2">
        <v>46371</v>
      </c>
      <c r="G111" s="2">
        <v>46351</v>
      </c>
      <c r="H111" s="2">
        <v>46356</v>
      </c>
      <c r="I111">
        <v>0</v>
      </c>
      <c r="J111" t="inlineStr">
        <is>
          <t>Q1</t>
        </is>
      </c>
    </row>
  </sheetData>
  <mergeCells count="5">
    <mergeCell ref="A1:I1"/>
    <mergeCell ref="A7:I7"/>
    <mergeCell ref="A8:I8"/>
    <mergeCell ref="A27:I27"/>
    <mergeCell ref="A28:I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75"/>
  <sheetViews>
    <sheetView showGridLines="0" workbookViewId="0"/>
  </sheetViews>
  <sheetFormatPr baseColWidth="10" defaultColWidth="8.83203125" defaultRowHeight="15"/>
  <cols>
    <col min="1" max="1" width="7" customWidth="1"/>
    <col min="2" max="2" width="24" customWidth="1"/>
    <col min="3" max="3" width="30" customWidth="1"/>
    <col min="4" max="4" width="13" customWidth="1"/>
    <col min="5" max="5" width="12" customWidth="1"/>
    <col min="6" max="6" width="28" customWidth="1"/>
    <col min="7" max="7" width="22" customWidth="1"/>
    <col min="8" max="8" width="52" customWidth="1"/>
  </cols>
  <sheetData>
    <row r="2" spans="1:8">
      <c r="A2" t="s">
        <v>206</v>
      </c>
    </row>
    <row r="3" spans="1:8">
      <c r="A3" t="s">
        <v>207</v>
      </c>
    </row>
    <row r="4" spans="1:8">
      <c r="A4" t="inlineStr">
        <is>
          <t>Los pedidos que dicen «Jengibre» corresponden a Gari terminado. Un producto sin pedido en una quincena no implica consumo cero.</t>
        </is>
      </c>
    </row>
    <row r="6" spans="1:8" ht="36" customHeight="1">
      <c r="A6" s="1" t="s">
        <v>208</v>
      </c>
      <c r="B6" s="1" t="s">
        <v>209</v>
      </c>
      <c r="C6" s="1" t="s">
        <v>210</v>
      </c>
      <c r="D6" s="1" t="s">
        <v>5</v>
      </c>
      <c r="E6" s="1" t="s">
        <v>22</v>
      </c>
      <c r="F6" s="1" t="s">
        <v>211</v>
      </c>
      <c r="G6" s="1" t="s">
        <v>212</v>
      </c>
      <c r="H6" s="1" t="s">
        <v>213</v>
      </c>
    </row>
    <row r="7" spans="1:8" ht="24" customHeight="1">
      <c r="A7">
        <v>1</v>
      </c>
      <c r="B7" t="s">
        <v>214</v>
      </c>
      <c r="C7" t="s">
        <v>215</v>
      </c>
      <c r="D7">
        <v>20</v>
      </c>
      <c r="E7" t="s">
        <v>131</v>
      </c>
      <c r="F7" t="s">
        <v>40</v>
      </c>
      <c r="G7" t="s">
        <v>216</v>
      </c>
    </row>
    <row r="8" spans="1:8" ht="24" customHeight="1">
      <c r="A8">
        <v>1</v>
      </c>
      <c r="B8" t="s">
        <v>214</v>
      </c>
      <c r="C8" t="s">
        <v>51</v>
      </c>
      <c r="D8">
        <v>5</v>
      </c>
      <c r="E8" t="s">
        <v>131</v>
      </c>
      <c r="F8" t="s">
        <v>51</v>
      </c>
      <c r="G8" t="s">
        <v>216</v>
      </c>
    </row>
    <row r="9" spans="1:8" ht="24" customHeight="1">
      <c r="A9">
        <v>1</v>
      </c>
      <c r="B9" t="s">
        <v>214</v>
      </c>
      <c r="C9" t="s">
        <v>59</v>
      </c>
      <c r="D9">
        <v>5</v>
      </c>
      <c r="E9" t="s">
        <v>130</v>
      </c>
      <c r="F9" t="s">
        <v>217</v>
      </c>
      <c r="G9" t="s">
        <v>216</v>
      </c>
    </row>
    <row r="10" spans="1:8" ht="24" customHeight="1">
      <c r="A10">
        <v>1</v>
      </c>
      <c r="B10" t="s">
        <v>214</v>
      </c>
      <c r="C10" t="s">
        <v>37</v>
      </c>
      <c r="D10">
        <v>5</v>
      </c>
      <c r="E10" t="s">
        <v>130</v>
      </c>
      <c r="F10" t="s">
        <v>37</v>
      </c>
      <c r="G10" t="s">
        <v>216</v>
      </c>
    </row>
    <row r="11" spans="1:8" ht="24" customHeight="1">
      <c r="A11">
        <v>1</v>
      </c>
      <c r="B11" t="s">
        <v>214</v>
      </c>
      <c r="C11" t="s">
        <v>34</v>
      </c>
      <c r="D11">
        <v>5</v>
      </c>
      <c r="E11" t="s">
        <v>130</v>
      </c>
      <c r="F11" t="s">
        <v>34</v>
      </c>
      <c r="G11" t="s">
        <v>216</v>
      </c>
    </row>
    <row r="12" spans="1:8" ht="24" customHeight="1">
      <c r="A12">
        <v>1</v>
      </c>
      <c r="B12" t="s">
        <v>214</v>
      </c>
      <c r="C12" t="s">
        <v>42</v>
      </c>
      <c r="D12">
        <v>3</v>
      </c>
      <c r="E12" t="s">
        <v>130</v>
      </c>
      <c r="F12" t="s">
        <v>42</v>
      </c>
      <c r="G12" t="s">
        <v>216</v>
      </c>
    </row>
    <row r="13" spans="1:8" ht="24" customHeight="1">
      <c r="A13">
        <v>1</v>
      </c>
      <c r="B13" t="s">
        <v>214</v>
      </c>
      <c r="C13" t="s">
        <v>46</v>
      </c>
      <c r="D13">
        <v>3</v>
      </c>
      <c r="E13" t="s">
        <v>130</v>
      </c>
      <c r="F13" t="s">
        <v>46</v>
      </c>
      <c r="G13" t="s">
        <v>216</v>
      </c>
    </row>
    <row r="14" spans="1:8" ht="24" customHeight="1">
      <c r="A14">
        <v>1</v>
      </c>
      <c r="B14" t="s">
        <v>214</v>
      </c>
      <c r="C14" t="s">
        <v>53</v>
      </c>
      <c r="D14">
        <v>5</v>
      </c>
      <c r="E14" t="s">
        <v>130</v>
      </c>
      <c r="F14" t="s">
        <v>53</v>
      </c>
      <c r="G14" t="s">
        <v>216</v>
      </c>
    </row>
    <row r="15" spans="1:8" ht="24" customHeight="1">
      <c r="A15">
        <v>1</v>
      </c>
      <c r="B15" t="s">
        <v>214</v>
      </c>
      <c r="C15" t="s">
        <v>218</v>
      </c>
      <c r="D15">
        <v>2</v>
      </c>
      <c r="E15" t="s">
        <v>130</v>
      </c>
      <c r="F15" t="s">
        <v>219</v>
      </c>
      <c r="G15" t="s">
        <v>220</v>
      </c>
    </row>
    <row r="16" spans="1:8" ht="24" customHeight="1">
      <c r="A16">
        <v>1</v>
      </c>
      <c r="B16" t="s">
        <v>214</v>
      </c>
      <c r="C16" t="s">
        <v>49</v>
      </c>
      <c r="D16">
        <v>10</v>
      </c>
      <c r="E16" t="s">
        <v>131</v>
      </c>
      <c r="F16" t="s">
        <v>49</v>
      </c>
      <c r="G16" t="s">
        <v>216</v>
      </c>
    </row>
    <row r="17" spans="1:8" ht="24" customHeight="1">
      <c r="A17">
        <v>1</v>
      </c>
      <c r="B17" t="s">
        <v>214</v>
      </c>
      <c r="C17" t="s">
        <v>221</v>
      </c>
      <c r="D17">
        <v>10</v>
      </c>
      <c r="E17" t="s">
        <v>130</v>
      </c>
      <c r="F17" t="inlineStr">
        <is>
          <t>Gari / pickle de jengibre</t>
        </is>
      </c>
      <c r="G17" t="inlineStr">
        <is>
          <t>Elaborado</t>
        </is>
      </c>
      <c r="H17" t="inlineStr">
        <is>
          <t>Gari terminado, según confirmación de Norimoto.</t>
        </is>
      </c>
    </row>
    <row r="18" spans="1:8" ht="24" customHeight="1">
      <c r="A18">
        <v>2</v>
      </c>
      <c r="B18" t="s">
        <v>222</v>
      </c>
      <c r="C18" t="s">
        <v>215</v>
      </c>
      <c r="D18">
        <v>56</v>
      </c>
      <c r="E18" t="s">
        <v>131</v>
      </c>
      <c r="F18" t="s">
        <v>40</v>
      </c>
      <c r="G18" t="s">
        <v>216</v>
      </c>
    </row>
    <row r="19" spans="1:8" ht="24" customHeight="1">
      <c r="A19">
        <v>2</v>
      </c>
      <c r="B19" t="s">
        <v>222</v>
      </c>
      <c r="C19" t="s">
        <v>223</v>
      </c>
      <c r="D19">
        <v>24</v>
      </c>
      <c r="E19" t="s">
        <v>130</v>
      </c>
      <c r="F19" t="s">
        <v>224</v>
      </c>
      <c r="G19" t="s">
        <v>216</v>
      </c>
    </row>
    <row r="20" spans="1:8" ht="24" customHeight="1">
      <c r="A20">
        <v>2</v>
      </c>
      <c r="B20" t="s">
        <v>222</v>
      </c>
      <c r="C20" t="s">
        <v>225</v>
      </c>
      <c r="D20">
        <v>1.0680000000000001</v>
      </c>
      <c r="E20" t="s">
        <v>130</v>
      </c>
      <c r="F20" t="s">
        <v>225</v>
      </c>
      <c r="G20" t="s">
        <v>220</v>
      </c>
    </row>
    <row r="21" spans="1:8" ht="24" customHeight="1">
      <c r="A21">
        <v>2</v>
      </c>
      <c r="B21" t="s">
        <v>222</v>
      </c>
      <c r="C21" t="s">
        <v>55</v>
      </c>
      <c r="D21">
        <v>8</v>
      </c>
      <c r="E21" t="s">
        <v>130</v>
      </c>
      <c r="F21" t="s">
        <v>55</v>
      </c>
      <c r="G21" t="s">
        <v>216</v>
      </c>
    </row>
    <row r="22" spans="1:8" ht="24" customHeight="1">
      <c r="A22">
        <v>2</v>
      </c>
      <c r="B22" t="s">
        <v>222</v>
      </c>
      <c r="C22" t="s">
        <v>51</v>
      </c>
      <c r="D22">
        <v>5</v>
      </c>
      <c r="E22" t="s">
        <v>131</v>
      </c>
      <c r="F22" t="s">
        <v>51</v>
      </c>
      <c r="G22" t="s">
        <v>216</v>
      </c>
    </row>
    <row r="23" spans="1:8" ht="24" customHeight="1">
      <c r="A23">
        <v>2</v>
      </c>
      <c r="B23" t="s">
        <v>222</v>
      </c>
      <c r="C23" t="s">
        <v>226</v>
      </c>
      <c r="D23">
        <v>5</v>
      </c>
      <c r="E23" t="s">
        <v>131</v>
      </c>
      <c r="F23" t="s">
        <v>226</v>
      </c>
      <c r="G23" t="s">
        <v>216</v>
      </c>
    </row>
    <row r="24" spans="1:8" ht="24" customHeight="1">
      <c r="A24">
        <v>2</v>
      </c>
      <c r="B24" t="s">
        <v>222</v>
      </c>
      <c r="C24" t="s">
        <v>59</v>
      </c>
      <c r="D24">
        <v>9</v>
      </c>
      <c r="E24" t="s">
        <v>130</v>
      </c>
      <c r="F24" t="s">
        <v>217</v>
      </c>
      <c r="G24" t="s">
        <v>216</v>
      </c>
    </row>
    <row r="25" spans="1:8" ht="24" customHeight="1">
      <c r="A25">
        <v>2</v>
      </c>
      <c r="B25" t="s">
        <v>222</v>
      </c>
      <c r="C25" t="s">
        <v>37</v>
      </c>
      <c r="D25">
        <v>13</v>
      </c>
      <c r="E25" t="s">
        <v>130</v>
      </c>
      <c r="F25" t="s">
        <v>37</v>
      </c>
      <c r="G25" t="s">
        <v>216</v>
      </c>
    </row>
    <row r="26" spans="1:8" ht="24" customHeight="1">
      <c r="A26">
        <v>2</v>
      </c>
      <c r="B26" t="s">
        <v>222</v>
      </c>
      <c r="C26" t="s">
        <v>34</v>
      </c>
      <c r="D26">
        <v>13</v>
      </c>
      <c r="E26" t="s">
        <v>130</v>
      </c>
      <c r="F26" t="s">
        <v>34</v>
      </c>
      <c r="G26" t="s">
        <v>216</v>
      </c>
    </row>
    <row r="27" spans="1:8" ht="24" customHeight="1">
      <c r="A27">
        <v>2</v>
      </c>
      <c r="B27" t="s">
        <v>222</v>
      </c>
      <c r="C27" t="s">
        <v>42</v>
      </c>
      <c r="D27">
        <v>4</v>
      </c>
      <c r="E27" t="s">
        <v>130</v>
      </c>
      <c r="F27" t="s">
        <v>42</v>
      </c>
      <c r="G27" t="s">
        <v>216</v>
      </c>
    </row>
    <row r="28" spans="1:8" ht="24" customHeight="1">
      <c r="A28">
        <v>2</v>
      </c>
      <c r="B28" t="s">
        <v>222</v>
      </c>
      <c r="C28" t="s">
        <v>53</v>
      </c>
      <c r="D28">
        <v>12</v>
      </c>
      <c r="E28" t="s">
        <v>130</v>
      </c>
      <c r="F28" t="s">
        <v>53</v>
      </c>
      <c r="G28" t="s">
        <v>216</v>
      </c>
    </row>
    <row r="29" spans="1:8" ht="24" customHeight="1">
      <c r="A29">
        <v>2</v>
      </c>
      <c r="B29" t="s">
        <v>222</v>
      </c>
      <c r="C29" t="s">
        <v>49</v>
      </c>
      <c r="D29">
        <v>7</v>
      </c>
      <c r="E29" t="s">
        <v>131</v>
      </c>
      <c r="F29" t="s">
        <v>49</v>
      </c>
      <c r="G29" t="s">
        <v>216</v>
      </c>
    </row>
    <row r="30" spans="1:8" ht="24" customHeight="1">
      <c r="A30">
        <v>3</v>
      </c>
      <c r="B30" t="s">
        <v>227</v>
      </c>
      <c r="C30" t="s">
        <v>215</v>
      </c>
      <c r="D30">
        <v>140</v>
      </c>
      <c r="E30" t="s">
        <v>131</v>
      </c>
      <c r="F30" t="s">
        <v>40</v>
      </c>
      <c r="G30" t="s">
        <v>216</v>
      </c>
    </row>
    <row r="31" spans="1:8" ht="24" customHeight="1">
      <c r="A31">
        <v>3</v>
      </c>
      <c r="B31" t="s">
        <v>227</v>
      </c>
      <c r="C31" t="s">
        <v>51</v>
      </c>
      <c r="D31">
        <v>5</v>
      </c>
      <c r="E31" t="s">
        <v>131</v>
      </c>
      <c r="F31" t="s">
        <v>51</v>
      </c>
      <c r="G31" t="s">
        <v>216</v>
      </c>
    </row>
    <row r="32" spans="1:8" ht="24" customHeight="1">
      <c r="A32">
        <v>3</v>
      </c>
      <c r="B32" t="s">
        <v>227</v>
      </c>
      <c r="C32" t="s">
        <v>226</v>
      </c>
      <c r="D32">
        <v>3</v>
      </c>
      <c r="E32" t="s">
        <v>131</v>
      </c>
      <c r="F32" t="s">
        <v>226</v>
      </c>
      <c r="G32" t="s">
        <v>216</v>
      </c>
    </row>
    <row r="33" spans="1:7" ht="24" customHeight="1">
      <c r="A33">
        <v>3</v>
      </c>
      <c r="B33" t="s">
        <v>227</v>
      </c>
      <c r="C33" t="s">
        <v>59</v>
      </c>
      <c r="D33">
        <v>5</v>
      </c>
      <c r="E33" t="s">
        <v>130</v>
      </c>
      <c r="F33" t="s">
        <v>217</v>
      </c>
      <c r="G33" t="s">
        <v>216</v>
      </c>
    </row>
    <row r="34" spans="1:7" ht="24" customHeight="1">
      <c r="A34">
        <v>3</v>
      </c>
      <c r="B34" t="s">
        <v>227</v>
      </c>
      <c r="C34" t="s">
        <v>223</v>
      </c>
      <c r="D34">
        <v>38</v>
      </c>
      <c r="E34" t="s">
        <v>130</v>
      </c>
      <c r="F34" t="s">
        <v>224</v>
      </c>
      <c r="G34" t="s">
        <v>216</v>
      </c>
    </row>
    <row r="35" spans="1:7" ht="24" customHeight="1">
      <c r="A35">
        <v>3</v>
      </c>
      <c r="B35" t="s">
        <v>227</v>
      </c>
      <c r="C35" t="s">
        <v>37</v>
      </c>
      <c r="D35">
        <v>14</v>
      </c>
      <c r="E35" t="s">
        <v>130</v>
      </c>
      <c r="F35" t="s">
        <v>37</v>
      </c>
      <c r="G35" t="s">
        <v>216</v>
      </c>
    </row>
    <row r="36" spans="1:7" ht="24" customHeight="1">
      <c r="A36">
        <v>3</v>
      </c>
      <c r="B36" t="s">
        <v>227</v>
      </c>
      <c r="C36" t="s">
        <v>34</v>
      </c>
      <c r="D36">
        <v>17</v>
      </c>
      <c r="E36" t="s">
        <v>130</v>
      </c>
      <c r="F36" t="s">
        <v>34</v>
      </c>
      <c r="G36" t="s">
        <v>216</v>
      </c>
    </row>
    <row r="37" spans="1:7" ht="24" customHeight="1">
      <c r="A37">
        <v>3</v>
      </c>
      <c r="B37" t="s">
        <v>227</v>
      </c>
      <c r="C37" t="s">
        <v>42</v>
      </c>
      <c r="D37">
        <v>7</v>
      </c>
      <c r="E37" t="s">
        <v>130</v>
      </c>
      <c r="F37" t="s">
        <v>42</v>
      </c>
      <c r="G37" t="s">
        <v>216</v>
      </c>
    </row>
    <row r="38" spans="1:7" ht="24" customHeight="1">
      <c r="A38">
        <v>3</v>
      </c>
      <c r="B38" t="s">
        <v>227</v>
      </c>
      <c r="C38" t="s">
        <v>55</v>
      </c>
      <c r="D38">
        <v>8</v>
      </c>
      <c r="E38" t="s">
        <v>130</v>
      </c>
      <c r="F38" t="s">
        <v>55</v>
      </c>
      <c r="G38" t="s">
        <v>216</v>
      </c>
    </row>
    <row r="39" spans="1:7" ht="24" customHeight="1">
      <c r="A39">
        <v>3</v>
      </c>
      <c r="B39" t="s">
        <v>227</v>
      </c>
      <c r="C39" t="s">
        <v>46</v>
      </c>
      <c r="D39">
        <v>4</v>
      </c>
      <c r="E39" t="s">
        <v>130</v>
      </c>
      <c r="F39" t="s">
        <v>46</v>
      </c>
      <c r="G39" t="s">
        <v>216</v>
      </c>
    </row>
    <row r="40" spans="1:7" ht="24" customHeight="1">
      <c r="A40">
        <v>3</v>
      </c>
      <c r="B40" t="s">
        <v>227</v>
      </c>
      <c r="C40" t="s">
        <v>53</v>
      </c>
      <c r="D40">
        <v>27</v>
      </c>
      <c r="E40" t="s">
        <v>130</v>
      </c>
      <c r="F40" t="s">
        <v>53</v>
      </c>
      <c r="G40" t="s">
        <v>216</v>
      </c>
    </row>
    <row r="41" spans="1:7" ht="24" customHeight="1">
      <c r="A41">
        <v>3</v>
      </c>
      <c r="B41" t="s">
        <v>227</v>
      </c>
      <c r="C41" t="s">
        <v>49</v>
      </c>
      <c r="D41">
        <v>15</v>
      </c>
      <c r="E41" t="s">
        <v>131</v>
      </c>
      <c r="F41" t="s">
        <v>49</v>
      </c>
      <c r="G41" t="s">
        <v>216</v>
      </c>
    </row>
    <row r="42" spans="1:7" ht="24" customHeight="1">
      <c r="A42">
        <v>4</v>
      </c>
      <c r="B42" t="s">
        <v>228</v>
      </c>
      <c r="C42" t="s">
        <v>215</v>
      </c>
      <c r="D42">
        <v>50</v>
      </c>
      <c r="E42" t="s">
        <v>131</v>
      </c>
      <c r="F42" t="s">
        <v>40</v>
      </c>
      <c r="G42" t="s">
        <v>216</v>
      </c>
    </row>
    <row r="43" spans="1:7" ht="24" customHeight="1">
      <c r="A43">
        <v>4</v>
      </c>
      <c r="B43" t="s">
        <v>228</v>
      </c>
      <c r="C43" t="s">
        <v>226</v>
      </c>
      <c r="D43">
        <v>3</v>
      </c>
      <c r="E43" t="s">
        <v>131</v>
      </c>
      <c r="F43" t="s">
        <v>226</v>
      </c>
      <c r="G43" t="s">
        <v>216</v>
      </c>
    </row>
    <row r="44" spans="1:7" ht="24" customHeight="1">
      <c r="A44">
        <v>4</v>
      </c>
      <c r="B44" t="s">
        <v>228</v>
      </c>
      <c r="C44" t="s">
        <v>59</v>
      </c>
      <c r="D44">
        <v>8</v>
      </c>
      <c r="E44" t="s">
        <v>130</v>
      </c>
      <c r="F44" t="s">
        <v>217</v>
      </c>
      <c r="G44" t="s">
        <v>216</v>
      </c>
    </row>
    <row r="45" spans="1:7" ht="24" customHeight="1">
      <c r="A45">
        <v>4</v>
      </c>
      <c r="B45" t="s">
        <v>228</v>
      </c>
      <c r="C45" t="s">
        <v>223</v>
      </c>
      <c r="D45">
        <v>15</v>
      </c>
      <c r="E45" t="s">
        <v>130</v>
      </c>
      <c r="F45" t="s">
        <v>224</v>
      </c>
      <c r="G45" t="s">
        <v>216</v>
      </c>
    </row>
    <row r="46" spans="1:7" ht="24" customHeight="1">
      <c r="A46">
        <v>4</v>
      </c>
      <c r="B46" t="s">
        <v>228</v>
      </c>
      <c r="C46" t="s">
        <v>46</v>
      </c>
      <c r="D46">
        <v>3</v>
      </c>
      <c r="E46" t="s">
        <v>130</v>
      </c>
      <c r="F46" t="s">
        <v>46</v>
      </c>
      <c r="G46" t="s">
        <v>216</v>
      </c>
    </row>
    <row r="47" spans="1:7" ht="24" customHeight="1">
      <c r="A47">
        <v>4</v>
      </c>
      <c r="B47" t="s">
        <v>228</v>
      </c>
      <c r="C47" t="s">
        <v>55</v>
      </c>
      <c r="D47">
        <v>4</v>
      </c>
      <c r="E47" t="s">
        <v>130</v>
      </c>
      <c r="F47" t="s">
        <v>55</v>
      </c>
      <c r="G47" t="s">
        <v>216</v>
      </c>
    </row>
    <row r="48" spans="1:7" ht="24" customHeight="1">
      <c r="A48">
        <v>4</v>
      </c>
      <c r="B48" t="s">
        <v>228</v>
      </c>
      <c r="C48" t="s">
        <v>53</v>
      </c>
      <c r="D48">
        <v>17</v>
      </c>
      <c r="E48" t="s">
        <v>130</v>
      </c>
      <c r="F48" t="s">
        <v>53</v>
      </c>
      <c r="G48" t="s">
        <v>216</v>
      </c>
    </row>
    <row r="49" spans="1:7" ht="24" customHeight="1">
      <c r="A49">
        <v>4</v>
      </c>
      <c r="B49" t="s">
        <v>228</v>
      </c>
      <c r="C49" t="s">
        <v>49</v>
      </c>
      <c r="D49">
        <v>13</v>
      </c>
      <c r="E49" t="s">
        <v>131</v>
      </c>
      <c r="F49" t="s">
        <v>49</v>
      </c>
      <c r="G49" t="s">
        <v>216</v>
      </c>
    </row>
    <row r="50" spans="1:7" ht="24" customHeight="1">
      <c r="A50">
        <v>4</v>
      </c>
      <c r="B50" t="s">
        <v>228</v>
      </c>
      <c r="C50" t="s">
        <v>37</v>
      </c>
      <c r="D50">
        <v>14</v>
      </c>
      <c r="E50" t="s">
        <v>130</v>
      </c>
      <c r="F50" t="s">
        <v>37</v>
      </c>
      <c r="G50" t="s">
        <v>216</v>
      </c>
    </row>
    <row r="51" spans="1:7" ht="24" customHeight="1">
      <c r="A51">
        <v>4</v>
      </c>
      <c r="B51" t="s">
        <v>228</v>
      </c>
      <c r="C51" t="s">
        <v>34</v>
      </c>
      <c r="D51">
        <v>14</v>
      </c>
      <c r="E51" t="s">
        <v>130</v>
      </c>
      <c r="F51" t="s">
        <v>34</v>
      </c>
      <c r="G51" t="s">
        <v>216</v>
      </c>
    </row>
    <row r="52" spans="1:7" ht="24" customHeight="1">
      <c r="A52">
        <v>4</v>
      </c>
      <c r="B52" t="s">
        <v>228</v>
      </c>
      <c r="C52" t="s">
        <v>42</v>
      </c>
      <c r="D52">
        <v>3</v>
      </c>
      <c r="E52" t="s">
        <v>130</v>
      </c>
      <c r="F52" t="s">
        <v>42</v>
      </c>
      <c r="G52" t="s">
        <v>216</v>
      </c>
    </row>
    <row r="53" spans="1:7" ht="24" customHeight="1">
      <c r="A53">
        <v>4</v>
      </c>
      <c r="B53" t="s">
        <v>228</v>
      </c>
      <c r="C53" t="s">
        <v>229</v>
      </c>
      <c r="D53">
        <v>1</v>
      </c>
      <c r="E53" t="s">
        <v>130</v>
      </c>
      <c r="F53" t="s">
        <v>229</v>
      </c>
      <c r="G53" t="s">
        <v>220</v>
      </c>
    </row>
    <row r="54" spans="1:7" ht="24" customHeight="1">
      <c r="A54">
        <v>5</v>
      </c>
      <c r="B54" t="s">
        <v>230</v>
      </c>
      <c r="C54" t="s">
        <v>215</v>
      </c>
      <c r="D54">
        <v>100</v>
      </c>
      <c r="E54" t="s">
        <v>131</v>
      </c>
      <c r="F54" t="s">
        <v>40</v>
      </c>
      <c r="G54" t="s">
        <v>216</v>
      </c>
    </row>
    <row r="55" spans="1:7" ht="24" customHeight="1">
      <c r="A55">
        <v>5</v>
      </c>
      <c r="B55" t="s">
        <v>230</v>
      </c>
      <c r="C55" t="s">
        <v>226</v>
      </c>
      <c r="D55">
        <v>4</v>
      </c>
      <c r="E55" t="s">
        <v>131</v>
      </c>
      <c r="F55" t="s">
        <v>226</v>
      </c>
      <c r="G55" t="s">
        <v>216</v>
      </c>
    </row>
    <row r="56" spans="1:7" ht="24" customHeight="1">
      <c r="A56">
        <v>5</v>
      </c>
      <c r="B56" t="s">
        <v>230</v>
      </c>
      <c r="C56" t="s">
        <v>223</v>
      </c>
      <c r="D56">
        <v>36</v>
      </c>
      <c r="E56" t="s">
        <v>130</v>
      </c>
      <c r="F56" t="s">
        <v>224</v>
      </c>
      <c r="G56" t="s">
        <v>216</v>
      </c>
    </row>
    <row r="57" spans="1:7" ht="24" customHeight="1">
      <c r="A57">
        <v>5</v>
      </c>
      <c r="B57" t="s">
        <v>230</v>
      </c>
      <c r="C57" t="s">
        <v>37</v>
      </c>
      <c r="D57">
        <v>14</v>
      </c>
      <c r="E57" t="s">
        <v>130</v>
      </c>
      <c r="F57" t="s">
        <v>37</v>
      </c>
      <c r="G57" t="s">
        <v>216</v>
      </c>
    </row>
    <row r="58" spans="1:7" ht="24" customHeight="1">
      <c r="A58">
        <v>5</v>
      </c>
      <c r="B58" t="s">
        <v>230</v>
      </c>
      <c r="C58" t="s">
        <v>34</v>
      </c>
      <c r="D58">
        <v>10</v>
      </c>
      <c r="E58" t="s">
        <v>130</v>
      </c>
      <c r="F58" t="s">
        <v>34</v>
      </c>
      <c r="G58" t="s">
        <v>216</v>
      </c>
    </row>
    <row r="59" spans="1:7" ht="24" customHeight="1">
      <c r="A59">
        <v>5</v>
      </c>
      <c r="B59" t="s">
        <v>230</v>
      </c>
      <c r="C59" t="s">
        <v>42</v>
      </c>
      <c r="D59">
        <v>8</v>
      </c>
      <c r="E59" t="s">
        <v>130</v>
      </c>
      <c r="F59" t="s">
        <v>42</v>
      </c>
      <c r="G59" t="s">
        <v>216</v>
      </c>
    </row>
    <row r="60" spans="1:7" ht="24" customHeight="1">
      <c r="A60">
        <v>5</v>
      </c>
      <c r="B60" t="s">
        <v>230</v>
      </c>
      <c r="C60" t="s">
        <v>53</v>
      </c>
      <c r="D60">
        <v>26</v>
      </c>
      <c r="E60" t="s">
        <v>130</v>
      </c>
      <c r="F60" t="s">
        <v>53</v>
      </c>
      <c r="G60" t="s">
        <v>216</v>
      </c>
    </row>
    <row r="61" spans="1:7" ht="24" customHeight="1">
      <c r="A61">
        <v>5</v>
      </c>
      <c r="B61" t="s">
        <v>230</v>
      </c>
      <c r="C61" t="s">
        <v>49</v>
      </c>
      <c r="D61">
        <v>15</v>
      </c>
      <c r="E61" t="s">
        <v>131</v>
      </c>
      <c r="F61" t="s">
        <v>49</v>
      </c>
      <c r="G61" t="s">
        <v>216</v>
      </c>
    </row>
    <row r="62" spans="1:7" ht="24" customHeight="1">
      <c r="A62">
        <v>5</v>
      </c>
      <c r="B62" t="s">
        <v>230</v>
      </c>
      <c r="C62" t="s">
        <v>231</v>
      </c>
      <c r="D62">
        <v>0.17199999999999999</v>
      </c>
      <c r="E62" t="s">
        <v>130</v>
      </c>
      <c r="F62" t="s">
        <v>231</v>
      </c>
      <c r="G62" t="s">
        <v>220</v>
      </c>
    </row>
    <row r="63" spans="1:7" ht="24" customHeight="1">
      <c r="A63">
        <v>5</v>
      </c>
      <c r="B63" t="s">
        <v>230</v>
      </c>
      <c r="C63" t="s">
        <v>46</v>
      </c>
      <c r="D63">
        <v>2</v>
      </c>
      <c r="E63" t="s">
        <v>130</v>
      </c>
      <c r="F63" t="s">
        <v>46</v>
      </c>
      <c r="G63" t="s">
        <v>216</v>
      </c>
    </row>
    <row r="64" spans="1:7" ht="24" customHeight="1">
      <c r="A64">
        <v>5</v>
      </c>
      <c r="B64" t="s">
        <v>230</v>
      </c>
      <c r="C64" t="s">
        <v>232</v>
      </c>
      <c r="D64">
        <v>3</v>
      </c>
      <c r="E64" t="s">
        <v>233</v>
      </c>
      <c r="F64" t="s">
        <v>232</v>
      </c>
      <c r="G64" t="s">
        <v>220</v>
      </c>
    </row>
    <row r="65" spans="1:7" ht="24" customHeight="1">
      <c r="A65">
        <v>6</v>
      </c>
      <c r="B65" t="s">
        <v>234</v>
      </c>
      <c r="C65" t="s">
        <v>215</v>
      </c>
      <c r="D65">
        <v>30</v>
      </c>
      <c r="E65" t="s">
        <v>131</v>
      </c>
      <c r="F65" t="s">
        <v>40</v>
      </c>
      <c r="G65" t="s">
        <v>216</v>
      </c>
    </row>
    <row r="66" spans="1:7" ht="24" customHeight="1">
      <c r="A66">
        <v>6</v>
      </c>
      <c r="B66" t="s">
        <v>234</v>
      </c>
      <c r="C66" t="s">
        <v>226</v>
      </c>
      <c r="D66">
        <v>2</v>
      </c>
      <c r="E66" t="s">
        <v>131</v>
      </c>
      <c r="F66" t="s">
        <v>226</v>
      </c>
      <c r="G66" t="s">
        <v>216</v>
      </c>
    </row>
    <row r="67" spans="1:7" ht="24" customHeight="1">
      <c r="A67">
        <v>6</v>
      </c>
      <c r="B67" t="s">
        <v>234</v>
      </c>
      <c r="C67" t="s">
        <v>59</v>
      </c>
      <c r="D67">
        <v>3</v>
      </c>
      <c r="E67" t="s">
        <v>130</v>
      </c>
      <c r="F67" t="s">
        <v>217</v>
      </c>
      <c r="G67" t="s">
        <v>216</v>
      </c>
    </row>
    <row r="68" spans="1:7" ht="24" customHeight="1">
      <c r="A68">
        <v>6</v>
      </c>
      <c r="B68" t="s">
        <v>234</v>
      </c>
      <c r="C68" t="s">
        <v>223</v>
      </c>
      <c r="D68">
        <v>10</v>
      </c>
      <c r="E68" t="s">
        <v>130</v>
      </c>
      <c r="F68" t="s">
        <v>224</v>
      </c>
      <c r="G68" t="s">
        <v>216</v>
      </c>
    </row>
    <row r="69" spans="1:7" ht="24" customHeight="1">
      <c r="A69">
        <v>6</v>
      </c>
      <c r="B69" t="s">
        <v>234</v>
      </c>
      <c r="C69" t="s">
        <v>37</v>
      </c>
      <c r="D69">
        <v>5</v>
      </c>
      <c r="E69" t="s">
        <v>130</v>
      </c>
      <c r="F69" t="s">
        <v>37</v>
      </c>
      <c r="G69" t="s">
        <v>216</v>
      </c>
    </row>
    <row r="70" spans="1:7" ht="24" customHeight="1">
      <c r="A70">
        <v>6</v>
      </c>
      <c r="B70" t="s">
        <v>234</v>
      </c>
      <c r="C70" t="s">
        <v>34</v>
      </c>
      <c r="D70">
        <v>5</v>
      </c>
      <c r="E70" t="s">
        <v>130</v>
      </c>
      <c r="F70" t="s">
        <v>34</v>
      </c>
      <c r="G70" t="s">
        <v>216</v>
      </c>
    </row>
    <row r="71" spans="1:7" ht="24" customHeight="1">
      <c r="A71">
        <v>6</v>
      </c>
      <c r="B71" t="s">
        <v>234</v>
      </c>
      <c r="C71" t="s">
        <v>42</v>
      </c>
      <c r="D71">
        <v>3</v>
      </c>
      <c r="E71" t="s">
        <v>130</v>
      </c>
      <c r="F71" t="s">
        <v>42</v>
      </c>
      <c r="G71" t="s">
        <v>216</v>
      </c>
    </row>
    <row r="72" spans="1:7" ht="24" customHeight="1">
      <c r="A72">
        <v>6</v>
      </c>
      <c r="B72" t="s">
        <v>234</v>
      </c>
      <c r="C72" t="s">
        <v>55</v>
      </c>
      <c r="D72">
        <v>3</v>
      </c>
      <c r="E72" t="s">
        <v>130</v>
      </c>
      <c r="F72" t="s">
        <v>55</v>
      </c>
      <c r="G72" t="s">
        <v>216</v>
      </c>
    </row>
    <row r="73" spans="1:7" ht="24" customHeight="1">
      <c r="A73">
        <v>6</v>
      </c>
      <c r="B73" t="s">
        <v>234</v>
      </c>
      <c r="C73" t="s">
        <v>53</v>
      </c>
      <c r="D73">
        <v>8</v>
      </c>
      <c r="E73" t="s">
        <v>130</v>
      </c>
      <c r="F73" t="s">
        <v>53</v>
      </c>
      <c r="G73" t="s">
        <v>216</v>
      </c>
    </row>
    <row r="74" spans="1:7" ht="24" customHeight="1">
      <c r="A74">
        <v>6</v>
      </c>
      <c r="B74" t="s">
        <v>234</v>
      </c>
      <c r="C74" t="s">
        <v>49</v>
      </c>
      <c r="D74">
        <v>5</v>
      </c>
      <c r="E74" t="s">
        <v>131</v>
      </c>
      <c r="F74" t="s">
        <v>49</v>
      </c>
      <c r="G74" t="s">
        <v>216</v>
      </c>
    </row>
    <row r="75" spans="1:7" ht="24" customHeight="1">
      <c r="A75">
        <v>6</v>
      </c>
      <c r="B75" t="s">
        <v>234</v>
      </c>
      <c r="C75" t="s">
        <v>231</v>
      </c>
      <c r="D75">
        <v>8.5999999999999993E-2</v>
      </c>
      <c r="E75" t="s">
        <v>130</v>
      </c>
      <c r="F75" t="s">
        <v>231</v>
      </c>
      <c r="G75" t="s">
        <v>220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27"/>
  <sheetViews>
    <sheetView showGridLines="0" workbookViewId="0">
      <selection activeCell="B3" sqref="B3"/>
    </sheetView>
  </sheetViews>
  <sheetFormatPr baseColWidth="10" defaultColWidth="8.83203125" defaultRowHeight="15"/>
  <cols>
    <col min="1" max="1" width="30" customWidth="1"/>
    <col min="2" max="2" width="17" customWidth="1"/>
    <col min="3" max="3" width="25" customWidth="1"/>
    <col min="4" max="4" width="27" customWidth="1"/>
    <col min="6" max="13" width="13" hidden="1" customWidth="1"/>
  </cols>
  <sheetData>
    <row r="1" spans="1:13" ht="38" customHeight="1">
      <c r="A1" s="68" t="s">
        <v>235</v>
      </c>
      <c r="B1" s="68"/>
      <c r="C1" s="68"/>
      <c r="D1" s="68"/>
    </row>
    <row r="2" spans="1:13" ht="31" customHeight="1">
      <c r="A2" s="69" t="s">
        <v>236</v>
      </c>
      <c r="B2" s="69"/>
      <c r="C2" s="69"/>
      <c r="D2" s="69"/>
    </row>
    <row r="3" spans="1:13" ht="34" customHeight="1">
      <c r="A3" s="31" t="s">
        <v>237</v>
      </c>
      <c r="B3" s="32">
        <v>46356</v>
      </c>
      <c r="C3" s="30"/>
      <c r="D3" s="30"/>
    </row>
    <row r="4" spans="1:13" ht="29" customHeight="1">
      <c r="A4" s="69" t="s">
        <v>238</v>
      </c>
      <c r="B4" s="69"/>
      <c r="C4" s="69"/>
      <c r="D4" s="69"/>
    </row>
    <row r="5" spans="1:13" ht="31" customHeight="1">
      <c r="A5" s="70" t="str">
        <f>IF(NOT(ISNUMBER(B3)),"Elegí una fecha de retiro.",IF(COUNTIFS(Encargado!$C$9:$C$128,$B$3,Encargado!$AC$9:$AC$128,1)&gt;0,"Revisá las filas duplicadas en Encargado. El total las excluye.",IF(SUM(J8:J19)=0,IF(SUM(K8:K19)&gt;0,"Solo hay previsiones. Todavía no hay cantidades confirmadas para entregar.","Sin cantidades para entregar ni previsiones en esta fecha."),IF(SUM(K8:K19)&gt;0,"Hay tandas por confirmar. Para el pedido real, usá la columna Pedido confirmado.","Pedido completo según Encargado. Comprobá las cantidades físicas antes de entregar."))))</f>
        <v>Solo hay previsiones. Todavía no hay cantidades confirmadas para entregar.</v>
      </c>
      <c r="B5" s="70"/>
      <c r="C5" s="70"/>
      <c r="D5" s="70"/>
    </row>
    <row r="6" spans="1:13" ht="7" customHeight="1">
      <c r="A6" s="30"/>
      <c r="B6" s="30"/>
      <c r="C6" s="30"/>
      <c r="D6" s="30"/>
      <c r="F6">
        <f>COUNTIF($F$8:$F$127,"&gt;0")</f>
        <v>18</v>
      </c>
    </row>
    <row r="7" spans="1:13" ht="32" customHeight="1">
      <c r="A7" s="33" t="s">
        <v>18</v>
      </c>
      <c r="B7" s="33" t="s">
        <v>22</v>
      </c>
      <c r="C7" s="33" t="s">
        <v>239</v>
      </c>
      <c r="D7" s="33" t="s">
        <v>240</v>
      </c>
    </row>
    <row r="8" spans="1:13" ht="25" customHeight="1">
      <c r="A8" s="35" t="str">
        <f t="shared" ref="A8:A19" si="0">IF($M8=0,"",INDEX($H$8:$H$19,$M8))</f>
        <v>Manteca Batayaki</v>
      </c>
      <c r="B8" s="36" t="str">
        <f t="shared" ref="B8:B19" si="1">IF($M8=0,"",INDEX($I$8:$I$19,$M8))</f>
        <v>kg</v>
      </c>
      <c r="C8" s="38">
        <f t="shared" ref="C8:C19" si="2">IF($M8=0,"",INDEX($J$8:$J$19,$M8))</f>
        <v>0</v>
      </c>
      <c r="D8" s="39">
        <f t="shared" ref="D8:D19" si="3">IF($M8=0,"",INDEX($K$8:$K$19,$M8))</f>
        <v>5</v>
      </c>
      <c r="F8">
        <f>IF(ISNUMBER(Encargado!C9),IF(COUNTIF(Encargado!$C$9:C9,Encargado!C9)=1,Encargado!C9,0),0)</f>
        <v>46356</v>
      </c>
      <c r="G8" s="34">
        <f t="shared" ref="G8:G39" si="4">IF(ROW()-ROW($G$7)&gt;$F$6,"",LARGE($F$8:$F$127,$F$6-(ROW()-ROW($G$7))+1))</f>
        <v>46356</v>
      </c>
      <c r="H8" t="str">
        <f>criterio!A11</f>
        <v>Manteca Batayaki</v>
      </c>
      <c r="I8" t="str">
        <f>criterio!B11</f>
        <v>kg</v>
      </c>
      <c r="J8">
        <f>IF(ISNUMBER($B$3),SUMIFS(Encargado!$H$9:$H$128,Encargado!$A$9:$A$128,$H8,Encargado!$C$9:$C$128,$B$3,Encargado!$AC$9:$AC$128,0,Encargado!$H$9:$H$128,"&gt;0"),0)</f>
        <v>0</v>
      </c>
      <c r="K8">
        <f>IF(ISNUMBER($B$3),ROUND(SUMIFS(Encargado!$AI$9:$AI$128,Encargado!$A$9:$A$128,$H8,Encargado!$C$9:$C$128,$B$3,Encargado!$AC$9:$AC$128,0)-J8,3),0)</f>
        <v>5</v>
      </c>
      <c r="L8">
        <f>IF(SUM(J8:K8)&gt;0,MAX($L$7:L7)+1,0)</f>
        <v>1</v>
      </c>
      <c r="M8">
        <f t="shared" ref="M8:M19" si="5">IFERROR(MATCH(ROW()-ROW($A$7),$L$8:$L$19,0),0)</f>
        <v>1</v>
      </c>
    </row>
    <row r="9" spans="1:13" ht="25" customHeight="1">
      <c r="A9" s="30" t="str">
        <f t="shared" si="0"/>
        <v>Manteca Hisosu</v>
      </c>
      <c r="B9" s="37" t="str">
        <f t="shared" si="1"/>
        <v>kg</v>
      </c>
      <c r="C9" s="40">
        <f t="shared" si="2"/>
        <v>0</v>
      </c>
      <c r="D9" s="41">
        <f t="shared" si="3"/>
        <v>5</v>
      </c>
      <c r="F9">
        <f>IF(ISNUMBER(Encargado!C10),IF(COUNTIF(Encargado!$C$9:C10,Encargado!C10)=1,Encargado!C10,0),0)</f>
        <v>46371</v>
      </c>
      <c r="G9" s="34">
        <f t="shared" si="4"/>
        <v>46363</v>
      </c>
      <c r="H9" t="str">
        <f>criterio!A12</f>
        <v>Manteca Hisosu</v>
      </c>
      <c r="I9" t="str">
        <f>criterio!B12</f>
        <v>kg</v>
      </c>
      <c r="J9">
        <f>IF(ISNUMBER($B$3),SUMIFS(Encargado!$H$9:$H$128,Encargado!$A$9:$A$128,$H9,Encargado!$C$9:$C$128,$B$3,Encargado!$AC$9:$AC$128,0,Encargado!$H$9:$H$128,"&gt;0"),0)</f>
        <v>0</v>
      </c>
      <c r="K9">
        <f>IF(ISNUMBER($B$3),ROUND(SUMIFS(Encargado!$AI$9:$AI$128,Encargado!$A$9:$A$128,$H9,Encargado!$C$9:$C$128,$B$3,Encargado!$AC$9:$AC$128,0)-J9,3),0)</f>
        <v>5</v>
      </c>
      <c r="L9">
        <f>IF(SUM(J9:K9)&gt;0,MAX($L$7:L8)+1,0)</f>
        <v>2</v>
      </c>
      <c r="M9">
        <f t="shared" si="5"/>
        <v>2</v>
      </c>
    </row>
    <row r="10" spans="1:13" ht="25" customHeight="1">
      <c r="A10" s="35" t="str">
        <f t="shared" si="0"/>
        <v>Furilot</v>
      </c>
      <c r="B10" s="36" t="str">
        <f t="shared" si="1"/>
        <v>kg</v>
      </c>
      <c r="C10" s="38">
        <f t="shared" si="2"/>
        <v>0</v>
      </c>
      <c r="D10" s="39">
        <f t="shared" si="3"/>
        <v>3</v>
      </c>
      <c r="F10">
        <f>IF(ISNUMBER(Encargado!C11),IF(COUNTIF(Encargado!$C$9:C11,Encargado!C11)=1,Encargado!C11,0),0)</f>
        <v>0</v>
      </c>
      <c r="G10" s="34">
        <f t="shared" si="4"/>
        <v>46370</v>
      </c>
      <c r="H10" t="str">
        <f>criterio!A13</f>
        <v>Furikake</v>
      </c>
      <c r="I10" t="str">
        <f>criterio!B13</f>
        <v>kg</v>
      </c>
      <c r="J10">
        <f>IF(ISNUMBER($B$3),SUMIFS(Encargado!$H$9:$H$128,Encargado!$A$9:$A$128,$H10,Encargado!$C$9:$C$128,$B$3,Encargado!$AC$9:$AC$128,0,Encargado!$H$9:$H$128,"&gt;0"),0)</f>
        <v>0</v>
      </c>
      <c r="K10">
        <f>IF(ISNUMBER($B$3),ROUND(SUMIFS(Encargado!$AI$9:$AI$128,Encargado!$A$9:$A$128,$H10,Encargado!$C$9:$C$128,$B$3,Encargado!$AC$9:$AC$128,0)-J10,3),0)</f>
        <v>0</v>
      </c>
      <c r="L10">
        <f>IF(SUM(J10:K10)&gt;0,MAX($L$7:L9)+1,0)</f>
        <v>0</v>
      </c>
      <c r="M10">
        <f t="shared" si="5"/>
        <v>4</v>
      </c>
    </row>
    <row r="11" spans="1:13" ht="25" customHeight="1">
      <c r="A11" s="30" t="str">
        <f t="shared" si="0"/>
        <v>Pachikay</v>
      </c>
      <c r="B11" s="37" t="str">
        <f t="shared" si="1"/>
        <v>kg</v>
      </c>
      <c r="C11" s="40">
        <f t="shared" si="2"/>
        <v>0</v>
      </c>
      <c r="D11" s="41">
        <f t="shared" si="3"/>
        <v>3</v>
      </c>
      <c r="F11">
        <f>IF(ISNUMBER(Encargado!C12),IF(COUNTIF(Encargado!$C$9:C12,Encargado!C12)=1,Encargado!C12,0),0)</f>
        <v>0</v>
      </c>
      <c r="G11" s="34">
        <f t="shared" si="4"/>
        <v>46371</v>
      </c>
      <c r="H11" t="str">
        <f>criterio!A14</f>
        <v>Furilot</v>
      </c>
      <c r="I11" t="str">
        <f>criterio!B14</f>
        <v>kg</v>
      </c>
      <c r="J11">
        <f>IF(ISNUMBER($B$3),SUMIFS(Encargado!$H$9:$H$128,Encargado!$A$9:$A$128,$H11,Encargado!$C$9:$C$128,$B$3,Encargado!$AC$9:$AC$128,0,Encargado!$H$9:$H$128,"&gt;0"),0)</f>
        <v>0</v>
      </c>
      <c r="K11">
        <f>IF(ISNUMBER($B$3),ROUND(SUMIFS(Encargado!$AI$9:$AI$128,Encargado!$A$9:$A$128,$H11,Encargado!$C$9:$C$128,$B$3,Encargado!$AC$9:$AC$128,0)-J11,3),0)</f>
        <v>3</v>
      </c>
      <c r="L11">
        <f>IF(SUM(J11:K11)&gt;0,MAX($L$7:L10)+1,0)</f>
        <v>3</v>
      </c>
      <c r="M11">
        <f t="shared" si="5"/>
        <v>5</v>
      </c>
    </row>
    <row r="12" spans="1:13" ht="25" customHeight="1">
      <c r="A12" s="35" t="str">
        <f t="shared" si="0"/>
        <v>Umami</v>
      </c>
      <c r="B12" s="36" t="str">
        <f t="shared" si="1"/>
        <v>kg</v>
      </c>
      <c r="C12" s="38">
        <f t="shared" si="2"/>
        <v>0</v>
      </c>
      <c r="D12" s="39">
        <f t="shared" si="3"/>
        <v>5</v>
      </c>
      <c r="F12">
        <f>IF(ISNUMBER(Encargado!C13),IF(COUNTIF(Encargado!$C$9:C13,Encargado!C13)=1,Encargado!C13,0),0)</f>
        <v>0</v>
      </c>
      <c r="G12" s="34">
        <f t="shared" si="4"/>
        <v>46377</v>
      </c>
      <c r="H12" t="str">
        <f>criterio!A15</f>
        <v>Pachikay</v>
      </c>
      <c r="I12" t="str">
        <f>criterio!B15</f>
        <v>kg</v>
      </c>
      <c r="J12">
        <f>IF(ISNUMBER($B$3),SUMIFS(Encargado!$H$9:$H$128,Encargado!$A$9:$A$128,$H12,Encargado!$C$9:$C$128,$B$3,Encargado!$AC$9:$AC$128,0,Encargado!$H$9:$H$128,"&gt;0"),0)</f>
        <v>0</v>
      </c>
      <c r="K12">
        <f>IF(ISNUMBER($B$3),ROUND(SUMIFS(Encargado!$AI$9:$AI$128,Encargado!$A$9:$A$128,$H12,Encargado!$C$9:$C$128,$B$3,Encargado!$AC$9:$AC$128,0)-J12,3),0)</f>
        <v>3</v>
      </c>
      <c r="L12">
        <f>IF(SUM(J12:K12)&gt;0,MAX($L$7:L11)+1,0)</f>
        <v>4</v>
      </c>
      <c r="M12">
        <f t="shared" si="5"/>
        <v>6</v>
      </c>
    </row>
    <row r="13" spans="1:13" ht="25" customHeight="1">
      <c r="A13" s="30" t="str">
        <f t="shared" si="0"/>
        <v>Gari</v>
      </c>
      <c r="B13" s="37" t="str">
        <f t="shared" si="1"/>
        <v>kg</v>
      </c>
      <c r="C13" s="40">
        <f t="shared" si="2"/>
        <v>0</v>
      </c>
      <c r="D13" s="41">
        <f t="shared" si="3"/>
        <v>10</v>
      </c>
      <c r="F13">
        <f>IF(ISNUMBER(Encargado!C14),IF(COUNTIF(Encargado!$C$9:C14,Encargado!C14)=1,Encargado!C14,0),0)</f>
        <v>0</v>
      </c>
      <c r="G13" s="34">
        <f t="shared" si="4"/>
        <v>46379</v>
      </c>
      <c r="H13" t="str">
        <f>criterio!A16</f>
        <v>Umami</v>
      </c>
      <c r="I13" t="str">
        <f>criterio!B16</f>
        <v>kg</v>
      </c>
      <c r="J13">
        <f>IF(ISNUMBER($B$3),SUMIFS(Encargado!$H$9:$H$128,Encargado!$A$9:$A$128,$H13,Encargado!$C$9:$C$128,$B$3,Encargado!$AC$9:$AC$128,0,Encargado!$H$9:$H$128,"&gt;0"),0)</f>
        <v>0</v>
      </c>
      <c r="K13">
        <f>IF(ISNUMBER($B$3),ROUND(SUMIFS(Encargado!$AI$9:$AI$128,Encargado!$A$9:$A$128,$H13,Encargado!$C$9:$C$128,$B$3,Encargado!$AC$9:$AC$128,0)-J13,3),0)</f>
        <v>5</v>
      </c>
      <c r="L13">
        <f>IF(SUM(J13:K13)&gt;0,MAX($L$7:L12)+1,0)</f>
        <v>5</v>
      </c>
      <c r="M13">
        <f t="shared" si="5"/>
        <v>7</v>
      </c>
    </row>
    <row r="14" spans="1:13" ht="25" customHeight="1">
      <c r="A14" s="35" t="str">
        <f t="shared" si="0"/>
        <v>Tsue</v>
      </c>
      <c r="B14" s="36" t="str">
        <f t="shared" si="1"/>
        <v>L</v>
      </c>
      <c r="C14" s="38">
        <f t="shared" si="2"/>
        <v>0</v>
      </c>
      <c r="D14" s="39">
        <f t="shared" si="3"/>
        <v>20</v>
      </c>
      <c r="F14">
        <f>IF(ISNUMBER(Encargado!C15),IF(COUNTIF(Encargado!$C$9:C15,Encargado!C15)=1,Encargado!C15,0),0)</f>
        <v>0</v>
      </c>
      <c r="G14" s="34">
        <f t="shared" si="4"/>
        <v>46384</v>
      </c>
      <c r="H14" t="str">
        <f>criterio!A17</f>
        <v>Gari</v>
      </c>
      <c r="I14" t="str">
        <f>criterio!B17</f>
        <v>kg</v>
      </c>
      <c r="J14">
        <f>IF(ISNUMBER($B$3),SUMIFS(Encargado!$H$9:$H$128,Encargado!$A$9:$A$128,$H14,Encargado!$C$9:$C$128,$B$3,Encargado!$AC$9:$AC$128,0,Encargado!$H$9:$H$128,"&gt;0"),0)</f>
        <v>0</v>
      </c>
      <c r="K14">
        <f>IF(ISNUMBER($B$3),ROUND(SUMIFS(Encargado!$AI$9:$AI$128,Encargado!$A$9:$A$128,$H14,Encargado!$C$9:$C$128,$B$3,Encargado!$AC$9:$AC$128,0)-J14,3),0)</f>
        <v>10</v>
      </c>
      <c r="L14">
        <f>IF(SUM(J14:K14)&gt;0,MAX($L$7:L13)+1,0)</f>
        <v>6</v>
      </c>
      <c r="M14">
        <f t="shared" si="5"/>
        <v>8</v>
      </c>
    </row>
    <row r="15" spans="1:13" ht="25" customHeight="1">
      <c r="A15" s="30" t="str">
        <f t="shared" si="0"/>
        <v>Salsa Teriyaki</v>
      </c>
      <c r="B15" s="37" t="str">
        <f t="shared" si="1"/>
        <v>L</v>
      </c>
      <c r="C15" s="40">
        <f t="shared" si="2"/>
        <v>0</v>
      </c>
      <c r="D15" s="41">
        <f t="shared" si="3"/>
        <v>10</v>
      </c>
      <c r="F15">
        <f>IF(ISNUMBER(Encargado!C16),IF(COUNTIF(Encargado!$C$9:C16,Encargado!C16)=1,Encargado!C16,0),0)</f>
        <v>46386</v>
      </c>
      <c r="G15" s="34">
        <f t="shared" si="4"/>
        <v>46386</v>
      </c>
      <c r="H15" t="str">
        <f>criterio!A18</f>
        <v>Tsue</v>
      </c>
      <c r="I15" t="str">
        <f>criterio!B18</f>
        <v>L</v>
      </c>
      <c r="J15">
        <f>IF(ISNUMBER($B$3),SUMIFS(Encargado!$H$9:$H$128,Encargado!$A$9:$A$128,$H15,Encargado!$C$9:$C$128,$B$3,Encargado!$AC$9:$AC$128,0,Encargado!$H$9:$H$128,"&gt;0"),0)</f>
        <v>0</v>
      </c>
      <c r="K15">
        <f>IF(ISNUMBER($B$3),ROUND(SUMIFS(Encargado!$AI$9:$AI$128,Encargado!$A$9:$A$128,$H15,Encargado!$C$9:$C$128,$B$3,Encargado!$AC$9:$AC$128,0)-J15,3),0)</f>
        <v>20</v>
      </c>
      <c r="L15">
        <f>IF(SUM(J15:K15)&gt;0,MAX($L$7:L14)+1,0)</f>
        <v>7</v>
      </c>
      <c r="M15">
        <f t="shared" si="5"/>
        <v>9</v>
      </c>
    </row>
    <row r="16" spans="1:13" ht="25" customHeight="1">
      <c r="A16" s="35" t="str">
        <f t="shared" si="0"/>
        <v>Salsa Nori</v>
      </c>
      <c r="B16" s="36" t="str">
        <f t="shared" si="1"/>
        <v>L</v>
      </c>
      <c r="C16" s="38">
        <f t="shared" si="2"/>
        <v>0</v>
      </c>
      <c r="D16" s="39">
        <f t="shared" si="3"/>
        <v>5</v>
      </c>
      <c r="F16">
        <f>IF(ISNUMBER(Encargado!C17),IF(COUNTIF(Encargado!$C$9:C17,Encargado!C17)=1,Encargado!C17,0),0)</f>
        <v>0</v>
      </c>
      <c r="G16" s="34">
        <f t="shared" si="4"/>
        <v>46391</v>
      </c>
      <c r="H16" t="str">
        <f>criterio!A19</f>
        <v>Salsa Teriyaki</v>
      </c>
      <c r="I16" t="str">
        <f>criterio!B19</f>
        <v>L</v>
      </c>
      <c r="J16">
        <f>IF(ISNUMBER($B$3),SUMIFS(Encargado!$H$9:$H$128,Encargado!$A$9:$A$128,$H16,Encargado!$C$9:$C$128,$B$3,Encargado!$AC$9:$AC$128,0,Encargado!$H$9:$H$128,"&gt;0"),0)</f>
        <v>0</v>
      </c>
      <c r="K16">
        <f>IF(ISNUMBER($B$3),ROUND(SUMIFS(Encargado!$AI$9:$AI$128,Encargado!$A$9:$A$128,$H16,Encargado!$C$9:$C$128,$B$3,Encargado!$AC$9:$AC$128,0)-J16,3),0)</f>
        <v>10</v>
      </c>
      <c r="L16">
        <f>IF(SUM(J16:K16)&gt;0,MAX($L$7:L15)+1,0)</f>
        <v>8</v>
      </c>
      <c r="M16">
        <f t="shared" si="5"/>
        <v>10</v>
      </c>
    </row>
    <row r="17" spans="1:13" ht="25" customHeight="1">
      <c r="A17" s="30" t="str">
        <f t="shared" si="0"/>
        <v>Mayo Spicy</v>
      </c>
      <c r="B17" s="37" t="str">
        <f t="shared" si="1"/>
        <v>kg</v>
      </c>
      <c r="C17" s="40">
        <f t="shared" si="2"/>
        <v>0</v>
      </c>
      <c r="D17" s="41">
        <f t="shared" si="3"/>
        <v>2.334</v>
      </c>
      <c r="F17">
        <f>IF(ISNUMBER(Encargado!C18),IF(COUNTIF(Encargado!$C$9:C18,Encargado!C18)=1,Encargado!C18,0),0)</f>
        <v>0</v>
      </c>
      <c r="G17" s="34">
        <f t="shared" si="4"/>
        <v>46394</v>
      </c>
      <c r="H17" t="str">
        <f>criterio!A20</f>
        <v>Salsa Nori</v>
      </c>
      <c r="I17" t="str">
        <f>criterio!B20</f>
        <v>L</v>
      </c>
      <c r="J17">
        <f>IF(ISNUMBER($B$3),SUMIFS(Encargado!$H$9:$H$128,Encargado!$A$9:$A$128,$H17,Encargado!$C$9:$C$128,$B$3,Encargado!$AC$9:$AC$128,0,Encargado!$H$9:$H$128,"&gt;0"),0)</f>
        <v>0</v>
      </c>
      <c r="K17">
        <f>IF(ISNUMBER($B$3),ROUND(SUMIFS(Encargado!$AI$9:$AI$128,Encargado!$A$9:$A$128,$H17,Encargado!$C$9:$C$128,$B$3,Encargado!$AC$9:$AC$128,0)-J17,3),0)</f>
        <v>5</v>
      </c>
      <c r="L17">
        <f>IF(SUM(J17:K17)&gt;0,MAX($L$7:L16)+1,0)</f>
        <v>9</v>
      </c>
      <c r="M17">
        <f t="shared" si="5"/>
        <v>12</v>
      </c>
    </row>
    <row r="18" spans="1:13" ht="25" customHeight="1">
      <c r="A18" s="35" t="str">
        <f t="shared" si="0"/>
        <v/>
      </c>
      <c r="B18" s="36" t="str">
        <f t="shared" si="1"/>
        <v/>
      </c>
      <c r="C18" s="38" t="str">
        <f t="shared" si="2"/>
        <v/>
      </c>
      <c r="D18" s="39" t="str">
        <f t="shared" si="3"/>
        <v/>
      </c>
      <c r="F18">
        <f>IF(ISNUMBER(Encargado!C19),IF(COUNTIF(Encargado!$C$9:C19,Encargado!C19)=1,Encargado!C19,0),0)</f>
        <v>0</v>
      </c>
      <c r="G18" s="34">
        <f t="shared" si="4"/>
        <v>46398</v>
      </c>
      <c r="H18" t="str">
        <f>criterio!A21</f>
        <v>Base Ponzu</v>
      </c>
      <c r="I18" t="str">
        <f>criterio!B21</f>
        <v>L</v>
      </c>
      <c r="J18">
        <f>IF(ISNUMBER($B$3),SUMIFS(Encargado!$H$9:$H$128,Encargado!$A$9:$A$128,$H18,Encargado!$C$9:$C$128,$B$3,Encargado!$AC$9:$AC$128,0,Encargado!$H$9:$H$128,"&gt;0"),0)</f>
        <v>0</v>
      </c>
      <c r="K18">
        <f>IF(ISNUMBER($B$3),ROUND(SUMIFS(Encargado!$AI$9:$AI$128,Encargado!$A$9:$A$128,$H18,Encargado!$C$9:$C$128,$B$3,Encargado!$AC$9:$AC$128,0)-J18,3),0)</f>
        <v>0</v>
      </c>
      <c r="L18">
        <f>IF(SUM(J18:K18)&gt;0,MAX($L$7:L17)+1,0)</f>
        <v>0</v>
      </c>
      <c r="M18">
        <f t="shared" si="5"/>
        <v>0</v>
      </c>
    </row>
    <row r="19" spans="1:13" ht="25" customHeight="1">
      <c r="A19" s="30" t="str">
        <f t="shared" si="0"/>
        <v/>
      </c>
      <c r="B19" s="37" t="str">
        <f t="shared" si="1"/>
        <v/>
      </c>
      <c r="C19" s="40" t="str">
        <f t="shared" si="2"/>
        <v/>
      </c>
      <c r="D19" s="41" t="str">
        <f t="shared" si="3"/>
        <v/>
      </c>
      <c r="F19">
        <f>IF(ISNUMBER(Encargado!C20),IF(COUNTIF(Encargado!$C$9:C20,Encargado!C20)=1,Encargado!C20,0),0)</f>
        <v>0</v>
      </c>
      <c r="G19" s="34">
        <f t="shared" si="4"/>
        <v>46402</v>
      </c>
      <c r="H19" t="str">
        <f>criterio!A22</f>
        <v>Mayo Spicy</v>
      </c>
      <c r="I19" t="str">
        <f>criterio!B22</f>
        <v>kg</v>
      </c>
      <c r="J19">
        <f>IF(ISNUMBER($B$3),SUMIFS(Encargado!$H$9:$H$128,Encargado!$A$9:$A$128,$H19,Encargado!$C$9:$C$128,$B$3,Encargado!$AC$9:$AC$128,0,Encargado!$H$9:$H$128,"&gt;0"),0)</f>
        <v>0</v>
      </c>
      <c r="K19">
        <f>IF(ISNUMBER($B$3),ROUND(SUMIFS(Encargado!$AI$9:$AI$128,Encargado!$A$9:$A$128,$H19,Encargado!$C$9:$C$128,$B$3,Encargado!$AC$9:$AC$128,0)-J19,3),0)</f>
        <v>2.334</v>
      </c>
      <c r="L19">
        <f>IF(SUM(J19:K19)&gt;0,MAX($L$7:L18)+1,0)</f>
        <v>10</v>
      </c>
      <c r="M19">
        <f t="shared" si="5"/>
        <v>0</v>
      </c>
    </row>
    <row r="20" spans="1:13" ht="8" customHeight="1">
      <c r="A20" s="30"/>
      <c r="B20" s="30"/>
      <c r="C20" s="30"/>
      <c r="D20" s="30"/>
      <c r="F20">
        <f>IF(ISNUMBER(Encargado!C21),IF(COUNTIF(Encargado!$C$9:C21,Encargado!C21)=1,Encargado!C21,0),0)</f>
        <v>0</v>
      </c>
      <c r="G20" s="34">
        <f t="shared" si="4"/>
        <v>46405</v>
      </c>
    </row>
    <row r="21" spans="1:13" ht="27" customHeight="1">
      <c r="A21" s="42" t="s">
        <v>241</v>
      </c>
      <c r="B21" s="43" t="s">
        <v>130</v>
      </c>
      <c r="C21" s="42">
        <f>SUMIF($B$8:$B$19,B21,$C$8:$C$19)</f>
        <v>0</v>
      </c>
      <c r="D21" s="42">
        <f>SUMIF($B$8:$B$19,B21,$D$8:$D$19)</f>
        <v>33.334</v>
      </c>
      <c r="F21">
        <f>IF(ISNUMBER(Encargado!C22),IF(COUNTIF(Encargado!$C$9:C22,Encargado!C22)=1,Encargado!C22,0),0)</f>
        <v>0</v>
      </c>
      <c r="G21" s="34">
        <f t="shared" si="4"/>
        <v>46412</v>
      </c>
    </row>
    <row r="22" spans="1:13" ht="27" customHeight="1">
      <c r="A22" s="42" t="s">
        <v>242</v>
      </c>
      <c r="B22" s="43" t="s">
        <v>131</v>
      </c>
      <c r="C22" s="42">
        <f>SUMIF($B$8:$B$19,B22,$C$8:$C$19)</f>
        <v>0</v>
      </c>
      <c r="D22" s="42">
        <f>SUMIF($B$8:$B$19,B22,$D$8:$D$19)</f>
        <v>35</v>
      </c>
      <c r="F22">
        <f>IF(ISNUMBER(Encargado!C23),IF(COUNTIF(Encargado!$C$9:C23,Encargado!C23)=1,Encargado!C23,0),0)</f>
        <v>0</v>
      </c>
      <c r="G22" s="34">
        <f t="shared" si="4"/>
        <v>46416</v>
      </c>
    </row>
    <row r="23" spans="1:13">
      <c r="F23">
        <f>IF(ISNUMBER(Encargado!C24),IF(COUNTIF(Encargado!$C$9:C24,Encargado!C24)=1,Encargado!C24,0),0)</f>
        <v>0</v>
      </c>
      <c r="G23" s="34">
        <f t="shared" si="4"/>
        <v>46423</v>
      </c>
    </row>
    <row r="24" spans="1:13">
      <c r="F24">
        <f>IF(ISNUMBER(Encargado!C25),IF(COUNTIF(Encargado!$C$9:C25,Encargado!C25)=1,Encargado!C25,0),0)</f>
        <v>0</v>
      </c>
      <c r="G24" s="34">
        <f t="shared" si="4"/>
        <v>46433</v>
      </c>
    </row>
    <row r="25" spans="1:13">
      <c r="F25">
        <f>IF(ISNUMBER(Encargado!C26),IF(COUNTIF(Encargado!$C$9:C26,Encargado!C26)=1,Encargado!C26,0),0)</f>
        <v>0</v>
      </c>
      <c r="G25" s="34">
        <f t="shared" si="4"/>
        <v>46440</v>
      </c>
    </row>
    <row r="26" spans="1:13">
      <c r="F26">
        <f>IF(ISNUMBER(Encargado!C27),IF(COUNTIF(Encargado!$C$9:C27,Encargado!C27)=1,Encargado!C27,0),0)</f>
        <v>0</v>
      </c>
      <c r="G26" s="34" t="str">
        <f t="shared" si="4"/>
        <v/>
      </c>
    </row>
    <row r="27" spans="1:13">
      <c r="F27">
        <f>IF(ISNUMBER(Encargado!C28),IF(COUNTIF(Encargado!$C$9:C28,Encargado!C28)=1,Encargado!C28,0),0)</f>
        <v>0</v>
      </c>
      <c r="G27" s="34" t="str">
        <f t="shared" si="4"/>
        <v/>
      </c>
    </row>
    <row r="28" spans="1:13">
      <c r="F28">
        <f>IF(ISNUMBER(Encargado!C29),IF(COUNTIF(Encargado!$C$9:C29,Encargado!C29)=1,Encargado!C29,0),0)</f>
        <v>46379</v>
      </c>
      <c r="G28" s="34" t="str">
        <f t="shared" si="4"/>
        <v/>
      </c>
    </row>
    <row r="29" spans="1:13">
      <c r="F29">
        <f>IF(ISNUMBER(Encargado!C30),IF(COUNTIF(Encargado!$C$9:C30,Encargado!C30)=1,Encargado!C30,0),0)</f>
        <v>0</v>
      </c>
      <c r="G29" s="34" t="str">
        <f t="shared" si="4"/>
        <v/>
      </c>
    </row>
    <row r="30" spans="1:13">
      <c r="F30">
        <f>IF(ISNUMBER(Encargado!C31),IF(COUNTIF(Encargado!$C$9:C31,Encargado!C31)=1,Encargado!C31,0),0)</f>
        <v>46402</v>
      </c>
      <c r="G30" s="34" t="str">
        <f t="shared" si="4"/>
        <v/>
      </c>
    </row>
    <row r="31" spans="1:13">
      <c r="F31">
        <f>IF(ISNUMBER(Encargado!C32),IF(COUNTIF(Encargado!$C$9:C32,Encargado!C32)=1,Encargado!C32,0),0)</f>
        <v>46363</v>
      </c>
      <c r="G31" s="34" t="str">
        <f t="shared" si="4"/>
        <v/>
      </c>
    </row>
    <row r="32" spans="1:13">
      <c r="F32">
        <f>IF(ISNUMBER(Encargado!C33),IF(COUNTIF(Encargado!$C$9:C33,Encargado!C33)=1,Encargado!C33,0),0)</f>
        <v>0</v>
      </c>
      <c r="G32" s="34" t="str">
        <f t="shared" si="4"/>
        <v/>
      </c>
    </row>
    <row r="33" spans="6:7">
      <c r="F33">
        <f>IF(ISNUMBER(Encargado!C34),IF(COUNTIF(Encargado!$C$9:C34,Encargado!C34)=1,Encargado!C34,0),0)</f>
        <v>0</v>
      </c>
      <c r="G33" s="34" t="str">
        <f t="shared" si="4"/>
        <v/>
      </c>
    </row>
    <row r="34" spans="6:7">
      <c r="F34">
        <f>IF(ISNUMBER(Encargado!C35),IF(COUNTIF(Encargado!$C$9:C35,Encargado!C35)=1,Encargado!C35,0),0)</f>
        <v>0</v>
      </c>
      <c r="G34" s="34" t="str">
        <f t="shared" si="4"/>
        <v/>
      </c>
    </row>
    <row r="35" spans="6:7">
      <c r="F35">
        <f>IF(ISNUMBER(Encargado!C36),IF(COUNTIF(Encargado!$C$9:C36,Encargado!C36)=1,Encargado!C36,0),0)</f>
        <v>0</v>
      </c>
      <c r="G35" s="34" t="str">
        <f t="shared" si="4"/>
        <v/>
      </c>
    </row>
    <row r="36" spans="6:7">
      <c r="F36">
        <f>IF(ISNUMBER(Encargado!C37),IF(COUNTIF(Encargado!$C$9:C37,Encargado!C37)=1,Encargado!C37,0),0)</f>
        <v>0</v>
      </c>
      <c r="G36" s="34" t="str">
        <f t="shared" si="4"/>
        <v/>
      </c>
    </row>
    <row r="37" spans="6:7">
      <c r="F37">
        <f>IF(ISNUMBER(Encargado!C38),IF(COUNTIF(Encargado!$C$9:C38,Encargado!C38)=1,Encargado!C38,0),0)</f>
        <v>0</v>
      </c>
      <c r="G37" s="34" t="str">
        <f t="shared" si="4"/>
        <v/>
      </c>
    </row>
    <row r="38" spans="6:7">
      <c r="F38">
        <f>IF(ISNUMBER(Encargado!C39),IF(COUNTIF(Encargado!$C$9:C39,Encargado!C39)=1,Encargado!C39,0),0)</f>
        <v>0</v>
      </c>
      <c r="G38" s="34" t="str">
        <f t="shared" si="4"/>
        <v/>
      </c>
    </row>
    <row r="39" spans="6:7">
      <c r="F39">
        <f>IF(ISNUMBER(Encargado!C40),IF(COUNTIF(Encargado!$C$9:C40,Encargado!C40)=1,Encargado!C40,0),0)</f>
        <v>0</v>
      </c>
      <c r="G39" s="34" t="str">
        <f t="shared" si="4"/>
        <v/>
      </c>
    </row>
    <row r="40" spans="6:7">
      <c r="F40">
        <f>IF(ISNUMBER(Encargado!C41),IF(COUNTIF(Encargado!$C$9:C41,Encargado!C41)=1,Encargado!C41,0),0)</f>
        <v>46370</v>
      </c>
      <c r="G40" s="34" t="str">
        <f t="shared" ref="G40:G71" si="6">IF(ROW()-ROW($G$7)&gt;$F$6,"",LARGE($F$8:$F$127,$F$6-(ROW()-ROW($G$7))+1))</f>
        <v/>
      </c>
    </row>
    <row r="41" spans="6:7">
      <c r="F41">
        <f>IF(ISNUMBER(Encargado!C42),IF(COUNTIF(Encargado!$C$9:C42,Encargado!C42)=1,Encargado!C42,0),0)</f>
        <v>0</v>
      </c>
      <c r="G41" s="34" t="str">
        <f t="shared" si="6"/>
        <v/>
      </c>
    </row>
    <row r="42" spans="6:7">
      <c r="F42">
        <f>IF(ISNUMBER(Encargado!C43),IF(COUNTIF(Encargado!$C$9:C43,Encargado!C43)=1,Encargado!C43,0),0)</f>
        <v>46394</v>
      </c>
      <c r="G42" s="34" t="str">
        <f t="shared" si="6"/>
        <v/>
      </c>
    </row>
    <row r="43" spans="6:7">
      <c r="F43">
        <f>IF(ISNUMBER(Encargado!C44),IF(COUNTIF(Encargado!$C$9:C44,Encargado!C44)=1,Encargado!C44,0),0)</f>
        <v>0</v>
      </c>
      <c r="G43" s="34" t="str">
        <f t="shared" si="6"/>
        <v/>
      </c>
    </row>
    <row r="44" spans="6:7">
      <c r="F44">
        <f>IF(ISNUMBER(Encargado!C45),IF(COUNTIF(Encargado!$C$9:C45,Encargado!C45)=1,Encargado!C45,0),0)</f>
        <v>0</v>
      </c>
      <c r="G44" s="34" t="str">
        <f t="shared" si="6"/>
        <v/>
      </c>
    </row>
    <row r="45" spans="6:7">
      <c r="F45">
        <f>IF(ISNUMBER(Encargado!C46),IF(COUNTIF(Encargado!$C$9:C46,Encargado!C46)=1,Encargado!C46,0),0)</f>
        <v>0</v>
      </c>
      <c r="G45" s="34" t="str">
        <f t="shared" si="6"/>
        <v/>
      </c>
    </row>
    <row r="46" spans="6:7">
      <c r="F46">
        <f>IF(ISNUMBER(Encargado!C47),IF(COUNTIF(Encargado!$C$9:C47,Encargado!C47)=1,Encargado!C47,0),0)</f>
        <v>0</v>
      </c>
      <c r="G46" s="34" t="str">
        <f t="shared" si="6"/>
        <v/>
      </c>
    </row>
    <row r="47" spans="6:7">
      <c r="F47">
        <f>IF(ISNUMBER(Encargado!C48),IF(COUNTIF(Encargado!$C$9:C48,Encargado!C48)=1,Encargado!C48,0),0)</f>
        <v>0</v>
      </c>
      <c r="G47" s="34" t="str">
        <f t="shared" si="6"/>
        <v/>
      </c>
    </row>
    <row r="48" spans="6:7">
      <c r="F48">
        <f>IF(ISNUMBER(Encargado!C49),IF(COUNTIF(Encargado!$C$9:C49,Encargado!C49)=1,Encargado!C49,0),0)</f>
        <v>46377</v>
      </c>
      <c r="G48" s="34" t="str">
        <f t="shared" si="6"/>
        <v/>
      </c>
    </row>
    <row r="49" spans="6:7">
      <c r="F49">
        <f>IF(ISNUMBER(Encargado!C50),IF(COUNTIF(Encargado!$C$9:C50,Encargado!C50)=1,Encargado!C50,0),0)</f>
        <v>0</v>
      </c>
      <c r="G49" s="34" t="str">
        <f t="shared" si="6"/>
        <v/>
      </c>
    </row>
    <row r="50" spans="6:7">
      <c r="F50">
        <f>IF(ISNUMBER(Encargado!C51),IF(COUNTIF(Encargado!$C$9:C51,Encargado!C51)=1,Encargado!C51,0),0)</f>
        <v>0</v>
      </c>
      <c r="G50" s="34" t="str">
        <f t="shared" si="6"/>
        <v/>
      </c>
    </row>
    <row r="51" spans="6:7">
      <c r="F51">
        <f>IF(ISNUMBER(Encargado!C52),IF(COUNTIF(Encargado!$C$9:C52,Encargado!C52)=1,Encargado!C52,0),0)</f>
        <v>0</v>
      </c>
      <c r="G51" s="34" t="str">
        <f t="shared" si="6"/>
        <v/>
      </c>
    </row>
    <row r="52" spans="6:7">
      <c r="F52">
        <f>IF(ISNUMBER(Encargado!C53),IF(COUNTIF(Encargado!$C$9:C53,Encargado!C53)=1,Encargado!C53,0),0)</f>
        <v>0</v>
      </c>
      <c r="G52" s="34" t="str">
        <f t="shared" si="6"/>
        <v/>
      </c>
    </row>
    <row r="53" spans="6:7">
      <c r="F53">
        <f>IF(ISNUMBER(Encargado!C54),IF(COUNTIF(Encargado!$C$9:C54,Encargado!C54)=1,Encargado!C54,0),0)</f>
        <v>46384</v>
      </c>
      <c r="G53" s="34" t="str">
        <f t="shared" si="6"/>
        <v/>
      </c>
    </row>
    <row r="54" spans="6:7">
      <c r="F54">
        <f>IF(ISNUMBER(Encargado!C55),IF(COUNTIF(Encargado!$C$9:C55,Encargado!C55)=1,Encargado!C55,0),0)</f>
        <v>46391</v>
      </c>
      <c r="G54" s="34" t="str">
        <f t="shared" si="6"/>
        <v/>
      </c>
    </row>
    <row r="55" spans="6:7">
      <c r="F55">
        <f>IF(ISNUMBER(Encargado!C56),IF(COUNTIF(Encargado!$C$9:C56,Encargado!C56)=1,Encargado!C56,0),0)</f>
        <v>0</v>
      </c>
      <c r="G55" s="34" t="str">
        <f t="shared" si="6"/>
        <v/>
      </c>
    </row>
    <row r="56" spans="6:7">
      <c r="F56">
        <f>IF(ISNUMBER(Encargado!C57),IF(COUNTIF(Encargado!$C$9:C57,Encargado!C57)=1,Encargado!C57,0),0)</f>
        <v>0</v>
      </c>
      <c r="G56" s="34" t="str">
        <f t="shared" si="6"/>
        <v/>
      </c>
    </row>
    <row r="57" spans="6:7">
      <c r="F57">
        <f>IF(ISNUMBER(Encargado!C58),IF(COUNTIF(Encargado!$C$9:C58,Encargado!C58)=1,Encargado!C58,0),0)</f>
        <v>0</v>
      </c>
      <c r="G57" s="34" t="str">
        <f t="shared" si="6"/>
        <v/>
      </c>
    </row>
    <row r="58" spans="6:7">
      <c r="F58">
        <f>IF(ISNUMBER(Encargado!C59),IF(COUNTIF(Encargado!$C$9:C59,Encargado!C59)=1,Encargado!C59,0),0)</f>
        <v>0</v>
      </c>
      <c r="G58" s="34" t="str">
        <f t="shared" si="6"/>
        <v/>
      </c>
    </row>
    <row r="59" spans="6:7">
      <c r="F59">
        <f>IF(ISNUMBER(Encargado!C60),IF(COUNTIF(Encargado!$C$9:C60,Encargado!C60)=1,Encargado!C60,0),0)</f>
        <v>0</v>
      </c>
      <c r="G59" s="34" t="str">
        <f t="shared" si="6"/>
        <v/>
      </c>
    </row>
    <row r="60" spans="6:7">
      <c r="F60">
        <f>IF(ISNUMBER(Encargado!C61),IF(COUNTIF(Encargado!$C$9:C61,Encargado!C61)=1,Encargado!C61,0),0)</f>
        <v>0</v>
      </c>
      <c r="G60" s="34" t="str">
        <f t="shared" si="6"/>
        <v/>
      </c>
    </row>
    <row r="61" spans="6:7">
      <c r="F61">
        <f>IF(ISNUMBER(Encargado!C62),IF(COUNTIF(Encargado!$C$9:C62,Encargado!C62)=1,Encargado!C62,0),0)</f>
        <v>46398</v>
      </c>
      <c r="G61" s="34" t="str">
        <f t="shared" si="6"/>
        <v/>
      </c>
    </row>
    <row r="62" spans="6:7">
      <c r="F62">
        <f>IF(ISNUMBER(Encargado!C63),IF(COUNTIF(Encargado!$C$9:C63,Encargado!C63)=1,Encargado!C63,0),0)</f>
        <v>46416</v>
      </c>
      <c r="G62" s="34" t="str">
        <f t="shared" si="6"/>
        <v/>
      </c>
    </row>
    <row r="63" spans="6:7">
      <c r="F63">
        <f>IF(ISNUMBER(Encargado!C64),IF(COUNTIF(Encargado!$C$9:C64,Encargado!C64)=1,Encargado!C64,0),0)</f>
        <v>46405</v>
      </c>
      <c r="G63" s="34" t="str">
        <f t="shared" si="6"/>
        <v/>
      </c>
    </row>
    <row r="64" spans="6:7">
      <c r="F64">
        <f>IF(ISNUMBER(Encargado!C65),IF(COUNTIF(Encargado!$C$9:C65,Encargado!C65)=1,Encargado!C65,0),0)</f>
        <v>0</v>
      </c>
      <c r="G64" s="34" t="str">
        <f t="shared" si="6"/>
        <v/>
      </c>
    </row>
    <row r="65" spans="6:7">
      <c r="F65">
        <f>IF(ISNUMBER(Encargado!C66),IF(COUNTIF(Encargado!$C$9:C66,Encargado!C66)=1,Encargado!C66,0),0)</f>
        <v>0</v>
      </c>
      <c r="G65" s="34" t="str">
        <f t="shared" si="6"/>
        <v/>
      </c>
    </row>
    <row r="66" spans="6:7">
      <c r="F66">
        <f>IF(ISNUMBER(Encargado!C67),IF(COUNTIF(Encargado!$C$9:C67,Encargado!C67)=1,Encargado!C67,0),0)</f>
        <v>0</v>
      </c>
      <c r="G66" s="34" t="str">
        <f t="shared" si="6"/>
        <v/>
      </c>
    </row>
    <row r="67" spans="6:7">
      <c r="F67">
        <f>IF(ISNUMBER(Encargado!C68),IF(COUNTIF(Encargado!$C$9:C68,Encargado!C68)=1,Encargado!C68,0),0)</f>
        <v>0</v>
      </c>
      <c r="G67" s="34" t="str">
        <f t="shared" si="6"/>
        <v/>
      </c>
    </row>
    <row r="68" spans="6:7">
      <c r="F68">
        <f>IF(ISNUMBER(Encargado!C69),IF(COUNTIF(Encargado!$C$9:C69,Encargado!C69)=1,Encargado!C69,0),0)</f>
        <v>0</v>
      </c>
      <c r="G68" s="34" t="str">
        <f t="shared" si="6"/>
        <v/>
      </c>
    </row>
    <row r="69" spans="6:7">
      <c r="F69">
        <f>IF(ISNUMBER(Encargado!C70),IF(COUNTIF(Encargado!$C$9:C70,Encargado!C70)=1,Encargado!C70,0),0)</f>
        <v>0</v>
      </c>
      <c r="G69" s="34" t="str">
        <f t="shared" si="6"/>
        <v/>
      </c>
    </row>
    <row r="70" spans="6:7">
      <c r="F70">
        <f>IF(ISNUMBER(Encargado!C71),IF(COUNTIF(Encargado!$C$9:C71,Encargado!C71)=1,Encargado!C71,0),0)</f>
        <v>46412</v>
      </c>
      <c r="G70" s="34" t="str">
        <f t="shared" si="6"/>
        <v/>
      </c>
    </row>
    <row r="71" spans="6:7">
      <c r="F71">
        <f>IF(ISNUMBER(Encargado!C72),IF(COUNTIF(Encargado!$C$9:C72,Encargado!C72)=1,Encargado!C72,0),0)</f>
        <v>0</v>
      </c>
      <c r="G71" s="34" t="str">
        <f t="shared" si="6"/>
        <v/>
      </c>
    </row>
    <row r="72" spans="6:7">
      <c r="F72">
        <f>IF(ISNUMBER(Encargado!C73),IF(COUNTIF(Encargado!$C$9:C73,Encargado!C73)=1,Encargado!C73,0),0)</f>
        <v>0</v>
      </c>
      <c r="G72" s="34" t="str">
        <f t="shared" ref="G72:G103" si="7">IF(ROW()-ROW($G$7)&gt;$F$6,"",LARGE($F$8:$F$127,$F$6-(ROW()-ROW($G$7))+1))</f>
        <v/>
      </c>
    </row>
    <row r="73" spans="6:7">
      <c r="F73">
        <f>IF(ISNUMBER(Encargado!C74),IF(COUNTIF(Encargado!$C$9:C74,Encargado!C74)=1,Encargado!C74,0),0)</f>
        <v>0</v>
      </c>
      <c r="G73" s="34" t="str">
        <f t="shared" si="7"/>
        <v/>
      </c>
    </row>
    <row r="74" spans="6:7">
      <c r="F74">
        <f>IF(ISNUMBER(Encargado!C75),IF(COUNTIF(Encargado!$C$9:C75,Encargado!C75)=1,Encargado!C75,0),0)</f>
        <v>0</v>
      </c>
      <c r="G74" s="34" t="str">
        <f t="shared" si="7"/>
        <v/>
      </c>
    </row>
    <row r="75" spans="6:7">
      <c r="F75">
        <f>IF(ISNUMBER(Encargado!C76),IF(COUNTIF(Encargado!$C$9:C76,Encargado!C76)=1,Encargado!C76,0),0)</f>
        <v>46423</v>
      </c>
      <c r="G75" s="34" t="str">
        <f t="shared" si="7"/>
        <v/>
      </c>
    </row>
    <row r="76" spans="6:7">
      <c r="F76">
        <f>IF(ISNUMBER(Encargado!C77),IF(COUNTIF(Encargado!$C$9:C77,Encargado!C77)=1,Encargado!C77,0),0)</f>
        <v>0</v>
      </c>
      <c r="G76" s="34" t="str">
        <f t="shared" si="7"/>
        <v/>
      </c>
    </row>
    <row r="77" spans="6:7">
      <c r="F77">
        <f>IF(ISNUMBER(Encargado!C78),IF(COUNTIF(Encargado!$C$9:C78,Encargado!C78)=1,Encargado!C78,0),0)</f>
        <v>46433</v>
      </c>
      <c r="G77" s="34" t="str">
        <f t="shared" si="7"/>
        <v/>
      </c>
    </row>
    <row r="78" spans="6:7">
      <c r="F78">
        <f>IF(ISNUMBER(Encargado!C79),IF(COUNTIF(Encargado!$C$9:C79,Encargado!C79)=1,Encargado!C79,0),0)</f>
        <v>0</v>
      </c>
      <c r="G78" s="34" t="str">
        <f t="shared" si="7"/>
        <v/>
      </c>
    </row>
    <row r="79" spans="6:7">
      <c r="F79">
        <f>IF(ISNUMBER(Encargado!C80),IF(COUNTIF(Encargado!$C$9:C80,Encargado!C80)=1,Encargado!C80,0),0)</f>
        <v>0</v>
      </c>
      <c r="G79" s="34" t="str">
        <f t="shared" si="7"/>
        <v/>
      </c>
    </row>
    <row r="80" spans="6:7">
      <c r="F80">
        <f>IF(ISNUMBER(Encargado!C81),IF(COUNTIF(Encargado!$C$9:C81,Encargado!C81)=1,Encargado!C81,0),0)</f>
        <v>0</v>
      </c>
      <c r="G80" s="34" t="str">
        <f t="shared" si="7"/>
        <v/>
      </c>
    </row>
    <row r="81" spans="6:7">
      <c r="F81">
        <f>IF(ISNUMBER(Encargado!C82),IF(COUNTIF(Encargado!$C$9:C82,Encargado!C82)=1,Encargado!C82,0),0)</f>
        <v>0</v>
      </c>
      <c r="G81" s="34" t="str">
        <f t="shared" si="7"/>
        <v/>
      </c>
    </row>
    <row r="82" spans="6:7">
      <c r="F82">
        <f>IF(ISNUMBER(Encargado!C83),IF(COUNTIF(Encargado!$C$9:C83,Encargado!C83)=1,Encargado!C83,0),0)</f>
        <v>0</v>
      </c>
      <c r="G82" s="34" t="str">
        <f t="shared" si="7"/>
        <v/>
      </c>
    </row>
    <row r="83" spans="6:7">
      <c r="F83">
        <f>IF(ISNUMBER(Encargado!C84),IF(COUNTIF(Encargado!$C$9:C84,Encargado!C84)=1,Encargado!C84,0),0)</f>
        <v>0</v>
      </c>
      <c r="G83" s="34" t="str">
        <f t="shared" si="7"/>
        <v/>
      </c>
    </row>
    <row r="84" spans="6:7">
      <c r="F84">
        <f>IF(ISNUMBER(Encargado!C85),IF(COUNTIF(Encargado!$C$9:C85,Encargado!C85)=1,Encargado!C85,0),0)</f>
        <v>0</v>
      </c>
      <c r="G84" s="34" t="str">
        <f t="shared" si="7"/>
        <v/>
      </c>
    </row>
    <row r="85" spans="6:7">
      <c r="F85">
        <f>IF(ISNUMBER(Encargado!C86),IF(COUNTIF(Encargado!$C$9:C86,Encargado!C86)=1,Encargado!C86,0),0)</f>
        <v>0</v>
      </c>
      <c r="G85" s="34" t="str">
        <f t="shared" si="7"/>
        <v/>
      </c>
    </row>
    <row r="86" spans="6:7">
      <c r="F86">
        <f>IF(ISNUMBER(Encargado!C87),IF(COUNTIF(Encargado!$C$9:C87,Encargado!C87)=1,Encargado!C87,0),0)</f>
        <v>0</v>
      </c>
      <c r="G86" s="34" t="str">
        <f t="shared" si="7"/>
        <v/>
      </c>
    </row>
    <row r="87" spans="6:7">
      <c r="F87">
        <f>IF(ISNUMBER(Encargado!C88),IF(COUNTIF(Encargado!$C$9:C88,Encargado!C88)=1,Encargado!C88,0),0)</f>
        <v>46440</v>
      </c>
      <c r="G87" s="34" t="str">
        <f t="shared" si="7"/>
        <v/>
      </c>
    </row>
    <row r="88" spans="6:7">
      <c r="F88">
        <f>IF(ISNUMBER(Encargado!C89),IF(COUNTIF(Encargado!$C$9:C89,Encargado!C89)=1,Encargado!C89,0),0)</f>
        <v>0</v>
      </c>
      <c r="G88" s="34" t="str">
        <f t="shared" si="7"/>
        <v/>
      </c>
    </row>
    <row r="89" spans="6:7">
      <c r="F89">
        <f>IF(ISNUMBER(Encargado!C90),IF(COUNTIF(Encargado!$C$9:C90,Encargado!C90)=1,Encargado!C90,0),0)</f>
        <v>0</v>
      </c>
      <c r="G89" s="34" t="str">
        <f t="shared" si="7"/>
        <v/>
      </c>
    </row>
    <row r="90" spans="6:7">
      <c r="F90">
        <f>IF(ISNUMBER(Encargado!C91),IF(COUNTIF(Encargado!$C$9:C91,Encargado!C91)=1,Encargado!C91,0),0)</f>
        <v>0</v>
      </c>
      <c r="G90" s="34" t="str">
        <f t="shared" si="7"/>
        <v/>
      </c>
    </row>
    <row r="91" spans="6:7">
      <c r="F91">
        <f>IF(ISNUMBER(Encargado!C92),IF(COUNTIF(Encargado!$C$9:C92,Encargado!C92)=1,Encargado!C92,0),0)</f>
        <v>0</v>
      </c>
      <c r="G91" s="34" t="str">
        <f t="shared" si="7"/>
        <v/>
      </c>
    </row>
    <row r="92" spans="6:7">
      <c r="F92">
        <f>IF(ISNUMBER(Encargado!C93),IF(COUNTIF(Encargado!$C$9:C93,Encargado!C93)=1,Encargado!C93,0),0)</f>
        <v>0</v>
      </c>
      <c r="G92" s="34" t="str">
        <f t="shared" si="7"/>
        <v/>
      </c>
    </row>
    <row r="93" spans="6:7">
      <c r="F93">
        <f>IF(ISNUMBER(Encargado!C94),IF(COUNTIF(Encargado!$C$9:C94,Encargado!C94)=1,Encargado!C94,0),0)</f>
        <v>0</v>
      </c>
      <c r="G93" s="34" t="str">
        <f t="shared" si="7"/>
        <v/>
      </c>
    </row>
    <row r="94" spans="6:7">
      <c r="F94">
        <f>IF(ISNUMBER(Encargado!C95),IF(COUNTIF(Encargado!$C$9:C95,Encargado!C95)=1,Encargado!C95,0),0)</f>
        <v>0</v>
      </c>
      <c r="G94" s="34" t="str">
        <f t="shared" si="7"/>
        <v/>
      </c>
    </row>
    <row r="95" spans="6:7">
      <c r="F95">
        <f>IF(ISNUMBER(Encargado!C96),IF(COUNTIF(Encargado!$C$9:C96,Encargado!C96)=1,Encargado!C96,0),0)</f>
        <v>0</v>
      </c>
      <c r="G95" s="34" t="str">
        <f t="shared" si="7"/>
        <v/>
      </c>
    </row>
    <row r="96" spans="6:7">
      <c r="F96">
        <f>IF(ISNUMBER(Encargado!C97),IF(COUNTIF(Encargado!$C$9:C97,Encargado!C97)=1,Encargado!C97,0),0)</f>
        <v>0</v>
      </c>
      <c r="G96" s="34" t="str">
        <f t="shared" si="7"/>
        <v/>
      </c>
    </row>
    <row r="97" spans="6:7">
      <c r="F97">
        <f>IF(ISNUMBER(Encargado!C98),IF(COUNTIF(Encargado!$C$9:C98,Encargado!C98)=1,Encargado!C98,0),0)</f>
        <v>0</v>
      </c>
      <c r="G97" s="34" t="str">
        <f t="shared" si="7"/>
        <v/>
      </c>
    </row>
    <row r="98" spans="6:7">
      <c r="F98">
        <f>IF(ISNUMBER(Encargado!C99),IF(COUNTIF(Encargado!$C$9:C99,Encargado!C99)=1,Encargado!C99,0),0)</f>
        <v>0</v>
      </c>
      <c r="G98" s="34" t="str">
        <f t="shared" si="7"/>
        <v/>
      </c>
    </row>
    <row r="99" spans="6:7">
      <c r="F99">
        <f>IF(ISNUMBER(Encargado!C100),IF(COUNTIF(Encargado!$C$9:C100,Encargado!C100)=1,Encargado!C100,0),0)</f>
        <v>0</v>
      </c>
      <c r="G99" s="34" t="str">
        <f t="shared" si="7"/>
        <v/>
      </c>
    </row>
    <row r="100" spans="6:7">
      <c r="F100">
        <f>IF(ISNUMBER(Encargado!C101),IF(COUNTIF(Encargado!$C$9:C101,Encargado!C101)=1,Encargado!C101,0),0)</f>
        <v>0</v>
      </c>
      <c r="G100" s="34" t="str">
        <f t="shared" si="7"/>
        <v/>
      </c>
    </row>
    <row r="101" spans="6:7">
      <c r="F101">
        <f>IF(ISNUMBER(Encargado!C102),IF(COUNTIF(Encargado!$C$9:C102,Encargado!C102)=1,Encargado!C102,0),0)</f>
        <v>0</v>
      </c>
      <c r="G101" s="34" t="str">
        <f t="shared" si="7"/>
        <v/>
      </c>
    </row>
    <row r="102" spans="6:7">
      <c r="F102">
        <f>IF(ISNUMBER(Encargado!C103),IF(COUNTIF(Encargado!$C$9:C103,Encargado!C103)=1,Encargado!C103,0),0)</f>
        <v>0</v>
      </c>
      <c r="G102" s="34" t="str">
        <f t="shared" si="7"/>
        <v/>
      </c>
    </row>
    <row r="103" spans="6:7">
      <c r="F103">
        <f>IF(ISNUMBER(Encargado!C104),IF(COUNTIF(Encargado!$C$9:C104,Encargado!C104)=1,Encargado!C104,0),0)</f>
        <v>0</v>
      </c>
      <c r="G103" s="34" t="str">
        <f t="shared" si="7"/>
        <v/>
      </c>
    </row>
    <row r="104" spans="6:7">
      <c r="F104">
        <f>IF(ISNUMBER(Encargado!C105),IF(COUNTIF(Encargado!$C$9:C105,Encargado!C105)=1,Encargado!C105,0),0)</f>
        <v>0</v>
      </c>
      <c r="G104" s="34" t="str">
        <f t="shared" ref="G104:G127" si="8">IF(ROW()-ROW($G$7)&gt;$F$6,"",LARGE($F$8:$F$127,$F$6-(ROW()-ROW($G$7))+1))</f>
        <v/>
      </c>
    </row>
    <row r="105" spans="6:7">
      <c r="F105">
        <f>IF(ISNUMBER(Encargado!C106),IF(COUNTIF(Encargado!$C$9:C106,Encargado!C106)=1,Encargado!C106,0),0)</f>
        <v>0</v>
      </c>
      <c r="G105" s="34" t="str">
        <f t="shared" si="8"/>
        <v/>
      </c>
    </row>
    <row r="106" spans="6:7">
      <c r="F106">
        <f>IF(ISNUMBER(Encargado!C107),IF(COUNTIF(Encargado!$C$9:C107,Encargado!C107)=1,Encargado!C107,0),0)</f>
        <v>0</v>
      </c>
      <c r="G106" s="34" t="str">
        <f t="shared" si="8"/>
        <v/>
      </c>
    </row>
    <row r="107" spans="6:7">
      <c r="F107">
        <f>IF(ISNUMBER(Encargado!C108),IF(COUNTIF(Encargado!$C$9:C108,Encargado!C108)=1,Encargado!C108,0),0)</f>
        <v>0</v>
      </c>
      <c r="G107" s="34" t="str">
        <f t="shared" si="8"/>
        <v/>
      </c>
    </row>
    <row r="108" spans="6:7">
      <c r="F108">
        <f>IF(ISNUMBER(Encargado!C109),IF(COUNTIF(Encargado!$C$9:C109,Encargado!C109)=1,Encargado!C109,0),0)</f>
        <v>0</v>
      </c>
      <c r="G108" s="34" t="str">
        <f t="shared" si="8"/>
        <v/>
      </c>
    </row>
    <row r="109" spans="6:7">
      <c r="F109">
        <f>IF(ISNUMBER(Encargado!C110),IF(COUNTIF(Encargado!$C$9:C110,Encargado!C110)=1,Encargado!C110,0),0)</f>
        <v>0</v>
      </c>
      <c r="G109" s="34" t="str">
        <f t="shared" si="8"/>
        <v/>
      </c>
    </row>
    <row r="110" spans="6:7">
      <c r="F110">
        <f>IF(ISNUMBER(Encargado!C111),IF(COUNTIF(Encargado!$C$9:C111,Encargado!C111)=1,Encargado!C111,0),0)</f>
        <v>0</v>
      </c>
      <c r="G110" s="34" t="str">
        <f t="shared" si="8"/>
        <v/>
      </c>
    </row>
    <row r="111" spans="6:7">
      <c r="F111">
        <f>IF(ISNUMBER(Encargado!C112),IF(COUNTIF(Encargado!$C$9:C112,Encargado!C112)=1,Encargado!C112,0),0)</f>
        <v>0</v>
      </c>
      <c r="G111" s="34" t="str">
        <f t="shared" si="8"/>
        <v/>
      </c>
    </row>
    <row r="112" spans="6:7">
      <c r="F112">
        <f>IF(ISNUMBER(Encargado!C113),IF(COUNTIF(Encargado!$C$9:C113,Encargado!C113)=1,Encargado!C113,0),0)</f>
        <v>0</v>
      </c>
      <c r="G112" s="34" t="str">
        <f t="shared" si="8"/>
        <v/>
      </c>
    </row>
    <row r="113" spans="6:7">
      <c r="F113">
        <f>IF(ISNUMBER(Encargado!C114),IF(COUNTIF(Encargado!$C$9:C114,Encargado!C114)=1,Encargado!C114,0),0)</f>
        <v>0</v>
      </c>
      <c r="G113" s="34" t="str">
        <f t="shared" si="8"/>
        <v/>
      </c>
    </row>
    <row r="114" spans="6:7">
      <c r="F114">
        <f>IF(ISNUMBER(Encargado!C115),IF(COUNTIF(Encargado!$C$9:C115,Encargado!C115)=1,Encargado!C115,0),0)</f>
        <v>0</v>
      </c>
      <c r="G114" s="34" t="str">
        <f t="shared" si="8"/>
        <v/>
      </c>
    </row>
    <row r="115" spans="6:7">
      <c r="F115">
        <f>IF(ISNUMBER(Encargado!C116),IF(COUNTIF(Encargado!$C$9:C116,Encargado!C116)=1,Encargado!C116,0),0)</f>
        <v>0</v>
      </c>
      <c r="G115" s="34" t="str">
        <f t="shared" si="8"/>
        <v/>
      </c>
    </row>
    <row r="116" spans="6:7">
      <c r="F116">
        <f>IF(ISNUMBER(Encargado!C117),IF(COUNTIF(Encargado!$C$9:C117,Encargado!C117)=1,Encargado!C117,0),0)</f>
        <v>0</v>
      </c>
      <c r="G116" s="34" t="str">
        <f t="shared" si="8"/>
        <v/>
      </c>
    </row>
    <row r="117" spans="6:7">
      <c r="F117">
        <f>IF(ISNUMBER(Encargado!C118),IF(COUNTIF(Encargado!$C$9:C118,Encargado!C118)=1,Encargado!C118,0),0)</f>
        <v>0</v>
      </c>
      <c r="G117" s="34" t="str">
        <f t="shared" si="8"/>
        <v/>
      </c>
    </row>
    <row r="118" spans="6:7">
      <c r="F118">
        <f>IF(ISNUMBER(Encargado!C119),IF(COUNTIF(Encargado!$C$9:C119,Encargado!C119)=1,Encargado!C119,0),0)</f>
        <v>0</v>
      </c>
      <c r="G118" s="34" t="str">
        <f t="shared" si="8"/>
        <v/>
      </c>
    </row>
    <row r="119" spans="6:7">
      <c r="F119">
        <f>IF(ISNUMBER(Encargado!C120),IF(COUNTIF(Encargado!$C$9:C120,Encargado!C120)=1,Encargado!C120,0),0)</f>
        <v>0</v>
      </c>
      <c r="G119" s="34" t="str">
        <f t="shared" si="8"/>
        <v/>
      </c>
    </row>
    <row r="120" spans="6:7">
      <c r="F120">
        <f>IF(ISNUMBER(Encargado!C121),IF(COUNTIF(Encargado!$C$9:C121,Encargado!C121)=1,Encargado!C121,0),0)</f>
        <v>0</v>
      </c>
      <c r="G120" s="34" t="str">
        <f t="shared" si="8"/>
        <v/>
      </c>
    </row>
    <row r="121" spans="6:7">
      <c r="F121">
        <f>IF(ISNUMBER(Encargado!C122),IF(COUNTIF(Encargado!$C$9:C122,Encargado!C122)=1,Encargado!C122,0),0)</f>
        <v>0</v>
      </c>
      <c r="G121" s="34" t="str">
        <f t="shared" si="8"/>
        <v/>
      </c>
    </row>
    <row r="122" spans="6:7">
      <c r="F122">
        <f>IF(ISNUMBER(Encargado!C123),IF(COUNTIF(Encargado!$C$9:C123,Encargado!C123)=1,Encargado!C123,0),0)</f>
        <v>0</v>
      </c>
      <c r="G122" s="34" t="str">
        <f t="shared" si="8"/>
        <v/>
      </c>
    </row>
    <row r="123" spans="6:7">
      <c r="F123">
        <f>IF(ISNUMBER(Encargado!C124),IF(COUNTIF(Encargado!$C$9:C124,Encargado!C124)=1,Encargado!C124,0),0)</f>
        <v>0</v>
      </c>
      <c r="G123" s="34" t="str">
        <f t="shared" si="8"/>
        <v/>
      </c>
    </row>
    <row r="124" spans="6:7">
      <c r="F124">
        <f>IF(ISNUMBER(Encargado!C125),IF(COUNTIF(Encargado!$C$9:C125,Encargado!C125)=1,Encargado!C125,0),0)</f>
        <v>0</v>
      </c>
      <c r="G124" s="34" t="str">
        <f t="shared" si="8"/>
        <v/>
      </c>
    </row>
    <row r="125" spans="6:7">
      <c r="F125">
        <f>IF(ISNUMBER(Encargado!C126),IF(COUNTIF(Encargado!$C$9:C126,Encargado!C126)=1,Encargado!C126,0),0)</f>
        <v>0</v>
      </c>
      <c r="G125" s="34" t="str">
        <f t="shared" si="8"/>
        <v/>
      </c>
    </row>
    <row r="126" spans="6:7">
      <c r="F126">
        <f>IF(ISNUMBER(Encargado!C127),IF(COUNTIF(Encargado!$C$9:C127,Encargado!C127)=1,Encargado!C127,0),0)</f>
        <v>0</v>
      </c>
      <c r="G126" s="34" t="str">
        <f t="shared" si="8"/>
        <v/>
      </c>
    </row>
    <row r="127" spans="6:7">
      <c r="F127">
        <f>IF(ISNUMBER(Encargado!C128),IF(COUNTIF(Encargado!$C$9:C128,Encargado!C128)=1,Encargado!C128,0),0)</f>
        <v>0</v>
      </c>
      <c r="G127" s="34" t="str">
        <f t="shared" si="8"/>
        <v/>
      </c>
    </row>
  </sheetData>
  <mergeCells count="4">
    <mergeCell ref="A1:D1"/>
    <mergeCell ref="A2:D2"/>
    <mergeCell ref="A4:D4"/>
    <mergeCell ref="A5:D5"/>
  </mergeCells>
  <dataValidations count="1">
    <dataValidation type="list" sqref="B3" xr:uid="{00000000-0002-0000-0500-000000000000}">
      <formula1>FechasRetiroPunta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Turno</vt:lpstr>
      <vt:lpstr>Encargado</vt:lpstr>
      <vt:lpstr>Por semana</vt:lpstr>
      <vt:lpstr>criterio</vt:lpstr>
      <vt:lpstr>Histórico</vt:lpstr>
      <vt:lpstr>Retiros</vt:lpstr>
      <vt:lpstr>'Por semana'!Print_Area</vt:lpstr>
      <vt:lpstr>Retiros!Print_Area</vt:lpstr>
      <vt:lpstr>Turno!Print_Titles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Manuel Mouzo</cp:lastModifiedBy>
  <dcterms:modified xsi:type="dcterms:W3CDTF">2026-11-04T01:35:54Z</dcterms:modified>
</cp:coreProperties>
</file>